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input and results" sheetId="1" r:id="rId1"/>
    <sheet name="detailed calculation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<sst xmlns="http://schemas.openxmlformats.org/spreadsheetml/2006/main" count="138" uniqueCount="94">
  <si>
    <t>brewday measurements</t>
  </si>
  <si>
    <t>grist information</t>
  </si>
  <si>
    <t>value</t>
  </si>
  <si>
    <t>unit</t>
  </si>
  <si>
    <t>grain 1 amount</t>
  </si>
  <si>
    <t>grain 1 extract potential (leave empty if unknown. 80% will be assumed in this case)</t>
  </si>
  <si>
    <t>grain 2 amount (leave empty if n/a)</t>
  </si>
  <si>
    <t>grain 2 extract potential (leave empty if unknown. 80% will be assumed in this case)</t>
  </si>
  <si>
    <t>grain 3 amount (leave empty if n/a)</t>
  </si>
  <si>
    <t>grain 3 extract potential (leave empty if unknown. 80% will be assumed in this case)</t>
  </si>
  <si>
    <t>grain 4 amount (leave empty if n/a)</t>
  </si>
  <si>
    <t>grain 4 extract potential (leave empty if unknown. 80% will be assumed in this case)</t>
  </si>
  <si>
    <t>grain 5 amount (leave empty if n/a)</t>
  </si>
  <si>
    <t>grain 5 extract potential (leave empty if unknown. 80% will be assumed in this case)</t>
  </si>
  <si>
    <t>grain 6 amount (leave empty if n/a)</t>
  </si>
  <si>
    <t>grain 6 extract potential (leave empty if unknown. 80% will be assumed in this case)</t>
  </si>
  <si>
    <t>wort information</t>
  </si>
  <si>
    <t>total amount of water used to make the collected wort this includes strike and spage water but not water added to comensate for evaporation losses in a decoction.</t>
  </si>
  <si>
    <t>Volume of wort collected</t>
  </si>
  <si>
    <t>Temperature of wort when volume was measured</t>
  </si>
  <si>
    <t>Extract or gravity of the collected wort (already temperature corrected)</t>
  </si>
  <si>
    <t>number of run-offs collected</t>
  </si>
  <si>
    <t>optional wort information</t>
  </si>
  <si>
    <t>first wort extract or gravity</t>
  </si>
  <si>
    <t>amount of water used to produce the first wort. This includes strike water and water added to the mash before the first wort is run off</t>
  </si>
  <si>
    <t>Volume in kettle after 1st run off</t>
  </si>
  <si>
    <t>Temperature of that wort when volume was measured</t>
  </si>
  <si>
    <t>Volume in kettle after 2nd run off</t>
  </si>
  <si>
    <t>Volume in kettle after 3rd run off</t>
  </si>
  <si>
    <t>Volume in kettle after 4th run off</t>
  </si>
  <si>
    <t>results</t>
  </si>
  <si>
    <t>brewhouse efficiency (this is efficiency into kettle)</t>
  </si>
  <si>
    <t>%</t>
  </si>
  <si>
    <t>theoretical lauter efficiency</t>
  </si>
  <si>
    <t>extraction efficiency calculated from brewhouse efficiency and theoretical lauter efficiency</t>
  </si>
  <si>
    <t>extraction efficiency calculated from first wort extract content</t>
  </si>
  <si>
    <t>grain absoption</t>
  </si>
  <si>
    <t>l/kg</t>
  </si>
  <si>
    <t>gal/lb</t>
  </si>
  <si>
    <t>pre boil wort volume metric</t>
  </si>
  <si>
    <t>l</t>
  </si>
  <si>
    <t>preboil wort temp in celsius</t>
  </si>
  <si>
    <t>C</t>
  </si>
  <si>
    <t>pre boil wort volume temperature corrected</t>
  </si>
  <si>
    <t xml:space="preserve">assumes linear expansion of wort </t>
  </si>
  <si>
    <t>pre boil extract content</t>
  </si>
  <si>
    <t>pre boil SG</t>
  </si>
  <si>
    <t>extract weight pre boil</t>
  </si>
  <si>
    <t>kg</t>
  </si>
  <si>
    <t>volume of extract dissolved in wort</t>
  </si>
  <si>
    <t>assumes that the extract only has a density of 1.62 kg/l</t>
  </si>
  <si>
    <t>Total water used in metric</t>
  </si>
  <si>
    <t>water use + extract volume</t>
  </si>
  <si>
    <t>wort loss in mash tun</t>
  </si>
  <si>
    <t>this is the amount of wort left in the MLT after each run-off</t>
  </si>
  <si>
    <t>Amount of water used for mash in metric</t>
  </si>
  <si>
    <t>first wort extract content</t>
  </si>
  <si>
    <t>grain 1 weight metric</t>
  </si>
  <si>
    <t>grain 1 extract ratio</t>
  </si>
  <si>
    <t>grain 2 weight metric</t>
  </si>
  <si>
    <t>grain 2 extract ratio</t>
  </si>
  <si>
    <t>grain 3 weight metric</t>
  </si>
  <si>
    <t>grain 3 extract ratio</t>
  </si>
  <si>
    <t>grain 4 weight metric</t>
  </si>
  <si>
    <t>grain 4 extract ratio</t>
  </si>
  <si>
    <t>grain 5 weight metric</t>
  </si>
  <si>
    <t>grain 5 extract ratio</t>
  </si>
  <si>
    <t>grain 6 weight metric</t>
  </si>
  <si>
    <t>grain 6 extract ratio</t>
  </si>
  <si>
    <t>total grain weight</t>
  </si>
  <si>
    <t>total extract weight</t>
  </si>
  <si>
    <t>sparge info</t>
  </si>
  <si>
    <t>measured first run off metric</t>
  </si>
  <si>
    <t>temp first run off</t>
  </si>
  <si>
    <t>volume after 2nd run off metric</t>
  </si>
  <si>
    <t>temp after 2nd run off</t>
  </si>
  <si>
    <t>volume after 3rd run off metric</t>
  </si>
  <si>
    <t>temp after 3rd run off</t>
  </si>
  <si>
    <t>volume after 4th run off metric</t>
  </si>
  <si>
    <t>temp after 4th run-off</t>
  </si>
  <si>
    <t>first run-off temp corrected</t>
  </si>
  <si>
    <t>after 2nd run off temp corrected</t>
  </si>
  <si>
    <t>after 3rd run off temp corrected</t>
  </si>
  <si>
    <t>after 4th run off temp corrected</t>
  </si>
  <si>
    <t>1st run off volume</t>
  </si>
  <si>
    <t>will assume preboil volume divided by run off number if no 1st run off volume is given</t>
  </si>
  <si>
    <t>2nd run off volume</t>
  </si>
  <si>
    <t>3rd run off volume</t>
  </si>
  <si>
    <t>4th run off volume</t>
  </si>
  <si>
    <t>lauter efficiency of 1st run-off</t>
  </si>
  <si>
    <t>lauter efficiency of 2nd run-off</t>
  </si>
  <si>
    <t>lauter efficiency of 3rd run-off</t>
  </si>
  <si>
    <t>lauter efficiency of 4th run-off</t>
  </si>
  <si>
    <t>total lauter efficiency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</si>
</sst>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left" vertical="top"/>
      <protection/>
    </xf>
    <xf numFmtId="164" fontId="0" fillId="0" borderId="0" xfId="0" applyFont="1" applyBorder="1" applyAlignment="1" applyProtection="1">
      <alignment horizontal="left" vertical="top"/>
      <protection/>
    </xf>
    <xf numFmtId="164" fontId="1" fillId="0" borderId="1" xfId="0" applyFont="1" applyBorder="1" applyAlignment="1" applyProtection="1">
      <alignment horizontal="center" vertical="top"/>
      <protection/>
    </xf>
    <xf numFmtId="164" fontId="1" fillId="0" borderId="2" xfId="0" applyFont="1" applyBorder="1" applyAlignment="1" applyProtection="1">
      <alignment horizontal="center"/>
      <protection/>
    </xf>
    <xf numFmtId="164" fontId="1" fillId="0" borderId="3" xfId="0" applyFont="1" applyBorder="1" applyAlignment="1" applyProtection="1">
      <alignment horizontal="center"/>
      <protection/>
    </xf>
    <xf numFmtId="164" fontId="0" fillId="0" borderId="4" xfId="0" applyFont="1" applyBorder="1" applyAlignment="1" applyProtection="1">
      <alignment horizontal="left" vertical="top" wrapText="1"/>
      <protection/>
    </xf>
    <xf numFmtId="164" fontId="0" fillId="2" borderId="5" xfId="0" applyFill="1" applyBorder="1" applyAlignment="1" applyProtection="1">
      <alignment/>
      <protection/>
    </xf>
    <xf numFmtId="164" fontId="0" fillId="2" borderId="6" xfId="0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left"/>
      <protection/>
    </xf>
    <xf numFmtId="164" fontId="0" fillId="0" borderId="7" xfId="0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9" xfId="0" applyFont="1" applyBorder="1" applyAlignment="1" applyProtection="1">
      <alignment horizontal="left" vertical="top" wrapText="1"/>
      <protection/>
    </xf>
    <xf numFmtId="164" fontId="0" fillId="0" borderId="10" xfId="0" applyBorder="1" applyAlignment="1" applyProtection="1">
      <alignment/>
      <protection/>
    </xf>
    <xf numFmtId="164" fontId="0" fillId="0" borderId="11" xfId="0" applyBorder="1" applyAlignment="1" applyProtection="1">
      <alignment/>
      <protection/>
    </xf>
    <xf numFmtId="164" fontId="1" fillId="0" borderId="12" xfId="0" applyFont="1" applyBorder="1" applyAlignment="1" applyProtection="1">
      <alignment horizontal="center"/>
      <protection/>
    </xf>
    <xf numFmtId="164" fontId="1" fillId="0" borderId="13" xfId="0" applyFont="1" applyBorder="1" applyAlignment="1" applyProtection="1">
      <alignment horizontal="center"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4" fontId="0" fillId="0" borderId="16" xfId="0" applyBorder="1" applyAlignment="1" applyProtection="1">
      <alignment/>
      <protection/>
    </xf>
    <xf numFmtId="164" fontId="0" fillId="0" borderId="17" xfId="0" applyBorder="1" applyAlignment="1" applyProtection="1">
      <alignment/>
      <protection/>
    </xf>
    <xf numFmtId="164" fontId="0" fillId="0" borderId="4" xfId="0" applyFont="1" applyBorder="1" applyAlignment="1" applyProtection="1">
      <alignment horizontal="left" vertical="top"/>
      <protection/>
    </xf>
    <xf numFmtId="164" fontId="0" fillId="0" borderId="9" xfId="0" applyFont="1" applyBorder="1" applyAlignment="1" applyProtection="1">
      <alignment horizontal="left" vertical="top"/>
      <protection/>
    </xf>
    <xf numFmtId="164" fontId="0" fillId="2" borderId="18" xfId="0" applyFill="1" applyBorder="1" applyAlignment="1" applyProtection="1">
      <alignment/>
      <protection/>
    </xf>
    <xf numFmtId="164" fontId="0" fillId="0" borderId="19" xfId="0" applyBorder="1" applyAlignment="1" applyProtection="1">
      <alignment/>
      <protection/>
    </xf>
    <xf numFmtId="164" fontId="0" fillId="2" borderId="20" xfId="0" applyFill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 vertical="top" wrapText="1"/>
      <protection/>
    </xf>
    <xf numFmtId="165" fontId="0" fillId="0" borderId="5" xfId="0" applyNumberFormat="1" applyBorder="1" applyAlignment="1" applyProtection="1">
      <alignment/>
      <protection/>
    </xf>
    <xf numFmtId="164" fontId="0" fillId="0" borderId="6" xfId="0" applyFont="1" applyBorder="1" applyAlignment="1" applyProtection="1">
      <alignment/>
      <protection/>
    </xf>
    <xf numFmtId="164" fontId="0" fillId="0" borderId="5" xfId="0" applyNumberForma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20" xfId="0" applyFont="1" applyBorder="1" applyAlignment="1" applyProtection="1">
      <alignment/>
      <protection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61"/>
  <sheetViews>
    <sheetView tabSelected="1" workbookViewId="0" topLeftCell="A7">
      <selection activeCell="A1" sqref="A1"/>
    </sheetView>
  </sheetViews>
  <sheetFormatPr defaultColWidth="9.140625" defaultRowHeight="12.75"/>
  <cols>
    <col min="1" max="1" width="9.00390625" style="1" customWidth="1"/>
    <col min="2" max="7" width="9.00390625" style="2" customWidth="1"/>
    <col min="8" max="9" width="9.00390625" style="1" customWidth="1"/>
    <col min="10" max="10" width="9.140625" style="1" customWidth="1"/>
    <col min="11" max="16384" width="9.00390625" style="1" customWidth="1"/>
  </cols>
  <sheetData>
    <row r="2" spans="2:4" ht="12.75">
      <c r="B2" s="3" t="s">
        <v>0</v>
      </c>
      <c r="C2" s="3"/>
      <c r="D2" s="3"/>
    </row>
    <row r="4" spans="2:9" ht="12.75" customHeight="1">
      <c r="B4" s="4" t="s">
        <v>1</v>
      </c>
      <c r="C4" s="4"/>
      <c r="D4" s="4"/>
      <c r="E4" s="4"/>
      <c r="F4" s="4"/>
      <c r="G4" s="4"/>
      <c r="H4" s="5" t="s">
        <v>2</v>
      </c>
      <c r="I4" s="6" t="s">
        <v>3</v>
      </c>
    </row>
    <row r="5" spans="2:12" ht="12.75" customHeight="1">
      <c r="B5" s="7" t="s">
        <v>4</v>
      </c>
      <c r="C5" s="7"/>
      <c r="D5" s="7"/>
      <c r="E5" s="7"/>
      <c r="F5" s="7"/>
      <c r="G5" s="7"/>
      <c r="H5" s="8"/>
      <c r="I5" s="9"/>
      <c r="J5" s="10" t="str">
        <f>IF(OR(I5="lb",I5="kg"),"","unit must be kg or lb")</f>
        <v>unit must be kg or lb</v>
      </c>
      <c r="K5" s="10"/>
      <c r="L5" s="10"/>
    </row>
    <row r="6" spans="2:12" ht="12.75" customHeight="1">
      <c r="B6" s="7" t="s">
        <v>5</v>
      </c>
      <c r="C6" s="7"/>
      <c r="D6" s="7"/>
      <c r="E6" s="7"/>
      <c r="F6" s="7"/>
      <c r="G6" s="7"/>
      <c r="H6" s="8"/>
      <c r="I6" s="9"/>
      <c r="J6" s="10">
        <f>IF(OR(I6="%",I6="ppg",H6=""),"","unit must be % or ppg")</f>
      </c>
      <c r="K6" s="10"/>
      <c r="L6" s="10"/>
    </row>
    <row r="7" spans="2:9" ht="12.75">
      <c r="B7" s="7"/>
      <c r="C7" s="7"/>
      <c r="D7" s="7"/>
      <c r="E7" s="7"/>
      <c r="F7" s="7"/>
      <c r="G7" s="7"/>
      <c r="H7" s="11"/>
      <c r="I7" s="12"/>
    </row>
    <row r="8" spans="2:12" ht="12.75" customHeight="1">
      <c r="B8" s="7" t="s">
        <v>6</v>
      </c>
      <c r="C8" s="7"/>
      <c r="D8" s="7"/>
      <c r="E8" s="7"/>
      <c r="F8" s="7"/>
      <c r="G8" s="7"/>
      <c r="H8" s="8"/>
      <c r="I8" s="9"/>
      <c r="J8" s="10">
        <f>IF(OR(I8="lb",I8="kg",H8=""),"","unit must be kg or lb")</f>
      </c>
      <c r="K8" s="10"/>
      <c r="L8" s="10"/>
    </row>
    <row r="9" spans="2:12" ht="12.75" customHeight="1">
      <c r="B9" s="7" t="s">
        <v>7</v>
      </c>
      <c r="C9" s="7"/>
      <c r="D9" s="7"/>
      <c r="E9" s="7"/>
      <c r="F9" s="7"/>
      <c r="G9" s="7"/>
      <c r="H9" s="8"/>
      <c r="I9" s="9"/>
      <c r="J9" s="10">
        <f>IF(OR(I9="%",I9="ppg",I9=""),"","unit must be % or ppg")</f>
      </c>
      <c r="K9" s="10"/>
      <c r="L9" s="10"/>
    </row>
    <row r="10" spans="2:9" ht="12.75">
      <c r="B10" s="7"/>
      <c r="C10" s="7"/>
      <c r="D10" s="7"/>
      <c r="E10" s="7"/>
      <c r="F10" s="7"/>
      <c r="G10" s="7"/>
      <c r="H10" s="11"/>
      <c r="I10" s="12"/>
    </row>
    <row r="11" spans="2:12" ht="12.75" customHeight="1">
      <c r="B11" s="7" t="s">
        <v>8</v>
      </c>
      <c r="C11" s="7"/>
      <c r="D11" s="7"/>
      <c r="E11" s="7"/>
      <c r="F11" s="7"/>
      <c r="G11" s="7"/>
      <c r="H11" s="8"/>
      <c r="I11" s="9"/>
      <c r="J11" s="10">
        <f>IF(OR(I11="lb",I11="kg",H11=""),"","unit must be kg or lb")</f>
      </c>
      <c r="K11" s="10"/>
      <c r="L11" s="10"/>
    </row>
    <row r="12" spans="2:12" ht="12.75" customHeight="1">
      <c r="B12" s="7" t="s">
        <v>9</v>
      </c>
      <c r="C12" s="7"/>
      <c r="D12" s="7"/>
      <c r="E12" s="7"/>
      <c r="F12" s="7"/>
      <c r="G12" s="7"/>
      <c r="H12" s="8"/>
      <c r="I12" s="9"/>
      <c r="J12" s="10">
        <f>IF(OR(I12="%",I12="ppg",I12=""),"","unit must be % or ppg")</f>
      </c>
      <c r="K12" s="10"/>
      <c r="L12" s="10"/>
    </row>
    <row r="13" spans="2:9" ht="12.75">
      <c r="B13" s="7"/>
      <c r="C13" s="7"/>
      <c r="D13" s="7"/>
      <c r="E13" s="7"/>
      <c r="F13" s="7"/>
      <c r="G13" s="7"/>
      <c r="H13" s="11"/>
      <c r="I13" s="12"/>
    </row>
    <row r="14" spans="2:12" ht="12.75" customHeight="1">
      <c r="B14" s="7" t="s">
        <v>10</v>
      </c>
      <c r="C14" s="7"/>
      <c r="D14" s="7"/>
      <c r="E14" s="7"/>
      <c r="F14" s="7"/>
      <c r="G14" s="7"/>
      <c r="H14" s="8"/>
      <c r="I14" s="9"/>
      <c r="J14" s="10">
        <f>IF(OR(I14="lb",I14="kg",H14=""),"","unit must be kg or lb")</f>
      </c>
      <c r="K14" s="10"/>
      <c r="L14" s="10"/>
    </row>
    <row r="15" spans="2:12" ht="12.75" customHeight="1">
      <c r="B15" s="7" t="s">
        <v>11</v>
      </c>
      <c r="C15" s="7"/>
      <c r="D15" s="7"/>
      <c r="E15" s="7"/>
      <c r="F15" s="7"/>
      <c r="G15" s="7"/>
      <c r="H15" s="8"/>
      <c r="I15" s="9"/>
      <c r="J15" s="10">
        <f>IF(OR(I15="%",I15="ppg",I15=""),"","unit must be % or ppg")</f>
      </c>
      <c r="K15" s="10"/>
      <c r="L15" s="10"/>
    </row>
    <row r="16" spans="2:9" ht="12.75">
      <c r="B16" s="7"/>
      <c r="C16" s="7"/>
      <c r="D16" s="7"/>
      <c r="E16" s="7"/>
      <c r="F16" s="7"/>
      <c r="G16" s="7"/>
      <c r="H16" s="11"/>
      <c r="I16" s="12"/>
    </row>
    <row r="17" spans="2:12" ht="12.75" customHeight="1">
      <c r="B17" s="7" t="s">
        <v>12</v>
      </c>
      <c r="C17" s="7"/>
      <c r="D17" s="7"/>
      <c r="E17" s="7"/>
      <c r="F17" s="7"/>
      <c r="G17" s="7"/>
      <c r="H17" s="8"/>
      <c r="I17" s="9"/>
      <c r="J17" s="10">
        <f>IF(OR(I17="lb",I17="kg",H17=""),"","unit must be kg or lb")</f>
      </c>
      <c r="K17" s="10"/>
      <c r="L17" s="10"/>
    </row>
    <row r="18" spans="2:12" ht="12.75" customHeight="1">
      <c r="B18" s="7" t="s">
        <v>13</v>
      </c>
      <c r="C18" s="7"/>
      <c r="D18" s="7"/>
      <c r="E18" s="7"/>
      <c r="F18" s="7"/>
      <c r="G18" s="7"/>
      <c r="H18" s="8"/>
      <c r="I18" s="9"/>
      <c r="J18" s="10">
        <f>IF(OR(I18="%",I18="ppg",I18=""),"","unit must be % or ppg")</f>
      </c>
      <c r="K18" s="10"/>
      <c r="L18" s="10"/>
    </row>
    <row r="19" spans="2:9" ht="12.75">
      <c r="B19" s="7"/>
      <c r="C19" s="7"/>
      <c r="D19" s="7"/>
      <c r="E19" s="7"/>
      <c r="F19" s="7"/>
      <c r="G19" s="7"/>
      <c r="H19" s="11"/>
      <c r="I19" s="12"/>
    </row>
    <row r="20" spans="2:12" ht="12.75" customHeight="1">
      <c r="B20" s="7" t="s">
        <v>14</v>
      </c>
      <c r="C20" s="7"/>
      <c r="D20" s="7"/>
      <c r="E20" s="7"/>
      <c r="F20" s="7"/>
      <c r="G20" s="7"/>
      <c r="H20" s="8"/>
      <c r="I20" s="9"/>
      <c r="J20" s="10">
        <f>IF(OR(I20="lb",I20="kg",H20=""),"","unit must be kg or lb")</f>
      </c>
      <c r="K20" s="10"/>
      <c r="L20" s="10"/>
    </row>
    <row r="21" spans="2:12" ht="12.75" customHeight="1">
      <c r="B21" s="13" t="s">
        <v>15</v>
      </c>
      <c r="C21" s="13"/>
      <c r="D21" s="13"/>
      <c r="E21" s="13"/>
      <c r="F21" s="13"/>
      <c r="G21" s="13"/>
      <c r="H21" s="8"/>
      <c r="I21" s="9"/>
      <c r="J21" s="10">
        <f>IF(OR(I21="%",I21="ppg",I21=""),"","unit must be % or ppg")</f>
      </c>
      <c r="K21" s="10"/>
      <c r="L21" s="10"/>
    </row>
    <row r="22" spans="2:9" ht="12.75">
      <c r="B22" s="13"/>
      <c r="C22" s="13"/>
      <c r="D22" s="13"/>
      <c r="E22" s="13"/>
      <c r="F22" s="13"/>
      <c r="G22" s="13"/>
      <c r="H22" s="14"/>
      <c r="I22" s="15"/>
    </row>
    <row r="26" spans="2:9" ht="12.75">
      <c r="B26" s="4" t="s">
        <v>16</v>
      </c>
      <c r="C26" s="4"/>
      <c r="D26" s="4"/>
      <c r="E26" s="4"/>
      <c r="F26" s="4"/>
      <c r="G26" s="4"/>
      <c r="H26" s="16" t="s">
        <v>2</v>
      </c>
      <c r="I26" s="17" t="s">
        <v>3</v>
      </c>
    </row>
    <row r="27" spans="2:12" ht="12.75" customHeight="1">
      <c r="B27" s="7" t="s">
        <v>17</v>
      </c>
      <c r="C27" s="7"/>
      <c r="D27" s="7"/>
      <c r="E27" s="7"/>
      <c r="F27" s="7"/>
      <c r="G27" s="7"/>
      <c r="H27" s="8"/>
      <c r="I27" s="9"/>
      <c r="J27" s="10" t="str">
        <f>IF(OR(I27="l",I27="gal",I27="qt"),"","unit must be l, qt or gal")</f>
        <v>unit must be l, qt or gal</v>
      </c>
      <c r="K27" s="10"/>
      <c r="L27" s="10"/>
    </row>
    <row r="28" spans="2:12" ht="12.75">
      <c r="B28" s="7"/>
      <c r="C28" s="7"/>
      <c r="D28" s="7"/>
      <c r="E28" s="7"/>
      <c r="F28" s="7"/>
      <c r="G28" s="7"/>
      <c r="H28" s="18"/>
      <c r="I28" s="19"/>
      <c r="J28" s="10"/>
      <c r="K28" s="10"/>
      <c r="L28" s="10"/>
    </row>
    <row r="29" spans="2:12" ht="12.75">
      <c r="B29" s="7"/>
      <c r="C29" s="7"/>
      <c r="D29" s="7"/>
      <c r="E29" s="7"/>
      <c r="F29" s="7"/>
      <c r="G29" s="7"/>
      <c r="H29" s="20"/>
      <c r="I29" s="21"/>
      <c r="J29" s="10"/>
      <c r="K29" s="10"/>
      <c r="L29" s="10"/>
    </row>
    <row r="30" spans="2:12" ht="12.75" customHeight="1">
      <c r="B30" s="7" t="s">
        <v>18</v>
      </c>
      <c r="C30" s="7"/>
      <c r="D30" s="7"/>
      <c r="E30" s="7"/>
      <c r="F30" s="7"/>
      <c r="G30" s="7"/>
      <c r="H30" s="8"/>
      <c r="I30" s="9"/>
      <c r="J30" s="10" t="str">
        <f>IF(OR(I30="l",I30="gal",I30="qt"),"","unit must be l, qt or gal")</f>
        <v>unit must be l, qt or gal</v>
      </c>
      <c r="K30" s="10"/>
      <c r="L30" s="10"/>
    </row>
    <row r="31" spans="2:12" ht="12.75">
      <c r="B31" s="22" t="s">
        <v>19</v>
      </c>
      <c r="C31" s="22"/>
      <c r="D31" s="22"/>
      <c r="E31" s="22"/>
      <c r="F31" s="22"/>
      <c r="G31" s="22"/>
      <c r="H31" s="8"/>
      <c r="I31" s="9"/>
      <c r="J31" s="10" t="str">
        <f>IF(OR(I31="C",I31="F"),"","unit must be C or F")</f>
        <v>unit must be C or F</v>
      </c>
      <c r="K31" s="10"/>
      <c r="L31" s="10"/>
    </row>
    <row r="32" spans="2:12" ht="12.75" customHeight="1">
      <c r="B32" s="7" t="s">
        <v>20</v>
      </c>
      <c r="C32" s="7"/>
      <c r="D32" s="7"/>
      <c r="E32" s="7"/>
      <c r="F32" s="7"/>
      <c r="G32" s="7"/>
      <c r="H32" s="8"/>
      <c r="I32" s="9"/>
      <c r="J32" s="10" t="str">
        <f>IF(OR(I32="Plato",I32="SG"),"","unit must be Plato or SG")</f>
        <v>unit must be Plato or SG</v>
      </c>
      <c r="K32" s="10"/>
      <c r="L32" s="10"/>
    </row>
    <row r="33" spans="2:9" ht="12.75">
      <c r="B33" s="7"/>
      <c r="C33" s="7"/>
      <c r="D33" s="7"/>
      <c r="E33" s="7"/>
      <c r="F33" s="7"/>
      <c r="G33" s="7"/>
      <c r="H33" s="11"/>
      <c r="I33" s="19"/>
    </row>
    <row r="34" spans="2:12" ht="12.75">
      <c r="B34" s="23" t="s">
        <v>21</v>
      </c>
      <c r="C34" s="23"/>
      <c r="D34" s="23"/>
      <c r="E34" s="23"/>
      <c r="F34" s="23"/>
      <c r="G34" s="23"/>
      <c r="H34" s="24"/>
      <c r="I34" s="25"/>
      <c r="J34" s="10" t="str">
        <f>IF(OR(H34=1,H34=2,H34=3,H34=4),"","only 1-4 are supported")</f>
        <v>only 1-4 are supported</v>
      </c>
      <c r="K34" s="10"/>
      <c r="L34" s="10"/>
    </row>
    <row r="37" spans="2:9" ht="12.75">
      <c r="B37" s="4" t="s">
        <v>22</v>
      </c>
      <c r="C37" s="4"/>
      <c r="D37" s="4"/>
      <c r="E37" s="4"/>
      <c r="F37" s="4"/>
      <c r="G37" s="4"/>
      <c r="H37" s="16" t="s">
        <v>2</v>
      </c>
      <c r="I37" s="17" t="s">
        <v>3</v>
      </c>
    </row>
    <row r="38" spans="2:12" ht="12.75">
      <c r="B38" s="22" t="s">
        <v>23</v>
      </c>
      <c r="C38" s="22"/>
      <c r="D38" s="22"/>
      <c r="E38" s="22"/>
      <c r="F38" s="22"/>
      <c r="G38" s="22"/>
      <c r="H38" s="8"/>
      <c r="I38" s="9"/>
      <c r="J38" s="10">
        <f>IF(OR(I38="Plato",I38="SG",H38=""),"","unit must be Plato or SG")</f>
      </c>
      <c r="K38" s="10"/>
      <c r="L38" s="10"/>
    </row>
    <row r="39" spans="2:12" ht="12.75" customHeight="1">
      <c r="B39" s="7" t="s">
        <v>24</v>
      </c>
      <c r="C39" s="7"/>
      <c r="D39" s="7"/>
      <c r="E39" s="7"/>
      <c r="F39" s="7"/>
      <c r="G39" s="7"/>
      <c r="H39" s="8"/>
      <c r="I39" s="9"/>
      <c r="J39" s="10">
        <f>IF(OR(I39="l",I39="gal",I39="qt",H38=""),"","unit must be l, qt or gal")</f>
      </c>
      <c r="K39" s="10"/>
      <c r="L39" s="10"/>
    </row>
    <row r="40" spans="2:9" ht="12.75">
      <c r="B40" s="7"/>
      <c r="C40" s="7"/>
      <c r="D40" s="7"/>
      <c r="E40" s="7"/>
      <c r="F40" s="7"/>
      <c r="G40" s="7"/>
      <c r="H40" s="18"/>
      <c r="I40" s="19"/>
    </row>
    <row r="41" spans="2:9" ht="12.75">
      <c r="B41" s="7"/>
      <c r="C41" s="7"/>
      <c r="D41" s="7"/>
      <c r="E41" s="7"/>
      <c r="F41" s="7"/>
      <c r="G41" s="7"/>
      <c r="H41" s="20"/>
      <c r="I41" s="21"/>
    </row>
    <row r="42" spans="2:12" ht="12.75">
      <c r="B42" s="22" t="s">
        <v>25</v>
      </c>
      <c r="C42" s="22"/>
      <c r="D42" s="22"/>
      <c r="E42" s="22"/>
      <c r="F42" s="22"/>
      <c r="G42" s="22"/>
      <c r="H42" s="8"/>
      <c r="I42" s="9"/>
      <c r="J42" s="10">
        <f>IF(OR(I42="l",I42="gal",I42="qt",H42=""),"","unit must be l, qt or gal")</f>
      </c>
      <c r="K42" s="10"/>
      <c r="L42" s="10"/>
    </row>
    <row r="43" spans="2:12" ht="12.75">
      <c r="B43" s="22" t="s">
        <v>26</v>
      </c>
      <c r="C43" s="22"/>
      <c r="D43" s="22"/>
      <c r="E43" s="22"/>
      <c r="F43" s="22"/>
      <c r="G43" s="22"/>
      <c r="H43" s="8"/>
      <c r="I43" s="9"/>
      <c r="J43" s="10">
        <f>IF(OR(I43="C",I43="F",H42=""),"","unit must be C or F")</f>
      </c>
      <c r="K43" s="10"/>
      <c r="L43" s="10"/>
    </row>
    <row r="44" spans="2:12" ht="12.75">
      <c r="B44" s="22" t="s">
        <v>27</v>
      </c>
      <c r="C44" s="22"/>
      <c r="D44" s="22"/>
      <c r="E44" s="22"/>
      <c r="F44" s="22"/>
      <c r="G44" s="22"/>
      <c r="H44" s="8"/>
      <c r="I44" s="9"/>
      <c r="J44" s="10">
        <f>IF(AND(H44&lt;&gt;"",H34&lt;2),"shouldn't be here since you selected 1 or less run-offs",IF(OR(I44="l",I44="gal",I44="qt",H44=""),"","unit must be l, qt or gal"))</f>
      </c>
      <c r="K44" s="10"/>
      <c r="L44" s="10"/>
    </row>
    <row r="45" spans="2:12" ht="12.75">
      <c r="B45" s="22" t="s">
        <v>26</v>
      </c>
      <c r="C45" s="22"/>
      <c r="D45" s="22"/>
      <c r="E45" s="22"/>
      <c r="F45" s="22"/>
      <c r="G45" s="22"/>
      <c r="H45" s="8"/>
      <c r="I45" s="9"/>
      <c r="J45" s="10">
        <f>IF(OR(I45="C",I45="F",H44=""),"","unit must be C or F")</f>
      </c>
      <c r="K45" s="10"/>
      <c r="L45" s="10"/>
    </row>
    <row r="46" spans="2:12" ht="12.75">
      <c r="B46" s="22" t="s">
        <v>28</v>
      </c>
      <c r="C46" s="22"/>
      <c r="D46" s="22"/>
      <c r="E46" s="22"/>
      <c r="F46" s="22"/>
      <c r="G46" s="22"/>
      <c r="H46" s="8"/>
      <c r="I46" s="9"/>
      <c r="J46" s="10">
        <f>IF(AND(H34&lt;2,H46&lt;&gt;""),"shouldn't be here since you selected 2 or less run-offs",IF(OR(I46="l",I46="gal",I46="qt",H46=""),"","unit must be l, qt or gal"))</f>
      </c>
      <c r="K46" s="10"/>
      <c r="L46" s="10"/>
    </row>
    <row r="47" spans="2:12" ht="12.75">
      <c r="B47" s="22" t="s">
        <v>26</v>
      </c>
      <c r="C47" s="22"/>
      <c r="D47" s="22"/>
      <c r="E47" s="22"/>
      <c r="F47" s="22"/>
      <c r="G47" s="22"/>
      <c r="H47" s="8"/>
      <c r="I47" s="9"/>
      <c r="J47" s="10">
        <f>IF(OR(I47="C",I47="F",H46=""),"","unit must be C or F")</f>
      </c>
      <c r="K47" s="10"/>
      <c r="L47" s="10"/>
    </row>
    <row r="48" spans="2:12" ht="12.75">
      <c r="B48" s="22" t="s">
        <v>29</v>
      </c>
      <c r="C48" s="22"/>
      <c r="D48" s="22"/>
      <c r="E48" s="22"/>
      <c r="F48" s="22"/>
      <c r="G48" s="22"/>
      <c r="H48" s="8"/>
      <c r="I48" s="9"/>
      <c r="J48" s="10">
        <f>IF(AND(H34&gt;3,H48&lt;&gt;""),"shouldn't be here since you selected 3 or less run-offs",IF(OR(I48="l",I48="gal",I48="qt",H48=""),"","unit must be l, qt or gal"))</f>
      </c>
      <c r="K48" s="10"/>
      <c r="L48" s="10"/>
    </row>
    <row r="49" spans="2:12" ht="12.75">
      <c r="B49" s="23" t="s">
        <v>26</v>
      </c>
      <c r="C49" s="23"/>
      <c r="D49" s="23"/>
      <c r="E49" s="23"/>
      <c r="F49" s="23"/>
      <c r="G49" s="23"/>
      <c r="H49" s="24"/>
      <c r="I49" s="26"/>
      <c r="J49" s="10">
        <f>IF(OR(I49="C",I49="F",H48=""),"","unit must be C or F")</f>
      </c>
      <c r="K49" s="10"/>
      <c r="L49" s="10"/>
    </row>
    <row r="54" spans="2:9" ht="12.75" customHeight="1">
      <c r="B54" s="27" t="s">
        <v>30</v>
      </c>
      <c r="C54" s="27"/>
      <c r="D54" s="27"/>
      <c r="E54" s="27"/>
      <c r="F54" s="27"/>
      <c r="G54" s="27"/>
      <c r="H54" s="16" t="s">
        <v>2</v>
      </c>
      <c r="I54" s="17" t="s">
        <v>3</v>
      </c>
    </row>
    <row r="55" spans="2:9" ht="12.75" customHeight="1">
      <c r="B55" s="7" t="s">
        <v>31</v>
      </c>
      <c r="C55" s="7"/>
      <c r="D55" s="7"/>
      <c r="E55" s="7"/>
      <c r="F55" s="7"/>
      <c r="G55" s="7"/>
      <c r="H55" s="28" t="e">
        <f>'detailed calculations'!C10/'detailed calculations'!C43*100</f>
        <v>#DIV/0!</v>
      </c>
      <c r="I55" s="29" t="s">
        <v>32</v>
      </c>
    </row>
    <row r="56" spans="2:9" ht="12.75" customHeight="1">
      <c r="B56" s="7" t="s">
        <v>33</v>
      </c>
      <c r="C56" s="7"/>
      <c r="D56" s="7"/>
      <c r="E56" s="7"/>
      <c r="F56" s="7"/>
      <c r="G56" s="7"/>
      <c r="H56" s="28" t="e">
        <f>'detailed calculations'!C77*100</f>
        <v>#DIV/0!</v>
      </c>
      <c r="I56" s="29" t="s">
        <v>32</v>
      </c>
    </row>
    <row r="57" spans="2:9" ht="12.75" customHeight="1">
      <c r="B57" s="7" t="s">
        <v>34</v>
      </c>
      <c r="C57" s="7"/>
      <c r="D57" s="7"/>
      <c r="E57" s="7"/>
      <c r="F57" s="7"/>
      <c r="G57" s="7"/>
      <c r="H57" s="28" t="e">
        <f>H55/H56*100</f>
        <v>#DIV/0!</v>
      </c>
      <c r="I57" s="29" t="s">
        <v>32</v>
      </c>
    </row>
    <row r="58" spans="2:9" ht="12.75">
      <c r="B58" s="7"/>
      <c r="C58" s="7"/>
      <c r="D58" s="7"/>
      <c r="E58" s="7"/>
      <c r="F58" s="7"/>
      <c r="G58" s="7"/>
      <c r="H58" s="11"/>
      <c r="I58" s="12"/>
    </row>
    <row r="59" spans="2:9" ht="12.75">
      <c r="B59" s="22" t="s">
        <v>35</v>
      </c>
      <c r="C59" s="22"/>
      <c r="D59" s="22"/>
      <c r="E59" s="22"/>
      <c r="F59" s="22"/>
      <c r="G59" s="22"/>
      <c r="H59" s="28" t="str">
        <f>IF(AND(H38&lt;&gt;"",H39&lt;&gt;""),'detailed calculations'!C18/('detailed calculations'!C43/('detailed calculations'!C43+'detailed calculations'!C17)),"n/a")</f>
        <v>n/a</v>
      </c>
      <c r="I59" s="29" t="s">
        <v>32</v>
      </c>
    </row>
    <row r="60" spans="2:9" ht="12.75">
      <c r="B60" s="23" t="s">
        <v>36</v>
      </c>
      <c r="C60" s="23"/>
      <c r="D60" s="23"/>
      <c r="E60" s="23"/>
      <c r="F60" s="23"/>
      <c r="G60" s="23"/>
      <c r="H60" s="30" t="e">
        <f>'detailed calculations'!C15/'detailed calculations'!C42</f>
        <v>#DIV/0!</v>
      </c>
      <c r="I60" s="29" t="s">
        <v>37</v>
      </c>
    </row>
    <row r="61" spans="2:9" ht="12.75">
      <c r="B61" s="23"/>
      <c r="C61" s="23"/>
      <c r="D61" s="23"/>
      <c r="E61" s="23"/>
      <c r="F61" s="23"/>
      <c r="G61" s="23"/>
      <c r="H61" s="31" t="e">
        <f>H60*0.119</f>
        <v>#DIV/0!</v>
      </c>
      <c r="I61" s="32" t="s">
        <v>38</v>
      </c>
    </row>
    <row r="62" s="1" customFormat="1" ht="12.75"/>
  </sheetData>
  <mergeCells count="65">
    <mergeCell ref="B2:D2"/>
    <mergeCell ref="B4:G4"/>
    <mergeCell ref="B5:G5"/>
    <mergeCell ref="J5:L5"/>
    <mergeCell ref="B6:G7"/>
    <mergeCell ref="J6:L6"/>
    <mergeCell ref="B8:G8"/>
    <mergeCell ref="J8:L8"/>
    <mergeCell ref="B9:G10"/>
    <mergeCell ref="J9:L9"/>
    <mergeCell ref="B11:G11"/>
    <mergeCell ref="J11:L11"/>
    <mergeCell ref="B12:G13"/>
    <mergeCell ref="J12:L12"/>
    <mergeCell ref="B14:G14"/>
    <mergeCell ref="J14:L14"/>
    <mergeCell ref="B15:G16"/>
    <mergeCell ref="J15:L15"/>
    <mergeCell ref="B17:G17"/>
    <mergeCell ref="J17:L17"/>
    <mergeCell ref="B18:G19"/>
    <mergeCell ref="J18:L18"/>
    <mergeCell ref="B20:G20"/>
    <mergeCell ref="J20:L20"/>
    <mergeCell ref="B21:G22"/>
    <mergeCell ref="J21:L21"/>
    <mergeCell ref="B26:G26"/>
    <mergeCell ref="B27:G29"/>
    <mergeCell ref="J27:L27"/>
    <mergeCell ref="J28:L28"/>
    <mergeCell ref="J29:L29"/>
    <mergeCell ref="B30:G30"/>
    <mergeCell ref="J30:L30"/>
    <mergeCell ref="B31:G31"/>
    <mergeCell ref="J31:L31"/>
    <mergeCell ref="B32:G33"/>
    <mergeCell ref="J32:L32"/>
    <mergeCell ref="B34:G34"/>
    <mergeCell ref="J34:L34"/>
    <mergeCell ref="B37:G37"/>
    <mergeCell ref="B38:G38"/>
    <mergeCell ref="J38:L38"/>
    <mergeCell ref="B39:G41"/>
    <mergeCell ref="J39:L39"/>
    <mergeCell ref="B42:G42"/>
    <mergeCell ref="J42:L42"/>
    <mergeCell ref="B43:G43"/>
    <mergeCell ref="J43:L43"/>
    <mergeCell ref="B44:G44"/>
    <mergeCell ref="B45:G45"/>
    <mergeCell ref="J45:L45"/>
    <mergeCell ref="B46:G46"/>
    <mergeCell ref="J46:L46"/>
    <mergeCell ref="B47:G47"/>
    <mergeCell ref="J47:L47"/>
    <mergeCell ref="B48:G48"/>
    <mergeCell ref="J48:L48"/>
    <mergeCell ref="B49:G49"/>
    <mergeCell ref="J49:L49"/>
    <mergeCell ref="B54:G54"/>
    <mergeCell ref="B55:G55"/>
    <mergeCell ref="B56:G56"/>
    <mergeCell ref="B57:G58"/>
    <mergeCell ref="B59:G59"/>
    <mergeCell ref="B60:G6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77"/>
  <sheetViews>
    <sheetView workbookViewId="0" topLeftCell="A1">
      <selection activeCell="C4" sqref="C4"/>
    </sheetView>
  </sheetViews>
  <sheetFormatPr defaultColWidth="9.140625" defaultRowHeight="12.75"/>
  <cols>
    <col min="2" max="2" width="45.7109375" style="0" customWidth="1"/>
    <col min="4" max="4" width="4.7109375" style="0" customWidth="1"/>
    <col min="5" max="5" width="77.140625" style="0" customWidth="1"/>
  </cols>
  <sheetData>
    <row r="4" spans="2:4" ht="12.75">
      <c r="B4" t="s">
        <v>39</v>
      </c>
      <c r="C4" s="33">
        <f>IF('detailed calculations'!I36="qt",'input and results'!H30*0.94,IF('input and results'!I30="gal",'input and results'!H30*3.78,'input and results'!H30))</f>
        <v>0</v>
      </c>
      <c r="D4" t="s">
        <v>40</v>
      </c>
    </row>
    <row r="5" spans="2:4" ht="12.75">
      <c r="B5" t="s">
        <v>41</v>
      </c>
      <c r="C5" s="33">
        <f>IF('input and results'!I31="F",('input and results'!H31-32)/1.8,'input and results'!H31)</f>
        <v>0</v>
      </c>
      <c r="D5" t="s">
        <v>42</v>
      </c>
    </row>
    <row r="6" spans="2:5" ht="12.75">
      <c r="B6" t="s">
        <v>43</v>
      </c>
      <c r="C6" s="33">
        <f>C4/(1+(C5-20)*0.000475)</f>
        <v>0</v>
      </c>
      <c r="D6" t="s">
        <v>40</v>
      </c>
      <c r="E6" t="s">
        <v>44</v>
      </c>
    </row>
    <row r="7" spans="2:4" ht="12.75">
      <c r="B7" t="s">
        <v>45</v>
      </c>
      <c r="C7" s="33">
        <f>IF('input and results'!I32="SG",('input and results'!H32-1)*250,'input and results'!H32)</f>
        <v>0</v>
      </c>
      <c r="D7" t="s">
        <v>32</v>
      </c>
    </row>
    <row r="8" spans="2:3" ht="12.75">
      <c r="B8" t="s">
        <v>46</v>
      </c>
      <c r="C8" s="33">
        <f>1+C7/250</f>
        <v>1</v>
      </c>
    </row>
    <row r="10" spans="2:4" ht="12.75">
      <c r="B10" t="s">
        <v>47</v>
      </c>
      <c r="C10" s="33">
        <f>C6*C8*C7/100</f>
        <v>0</v>
      </c>
      <c r="D10" t="s">
        <v>48</v>
      </c>
    </row>
    <row r="11" spans="2:5" ht="12.75">
      <c r="B11" t="s">
        <v>49</v>
      </c>
      <c r="C11" s="33">
        <f>C10/1.62</f>
        <v>0</v>
      </c>
      <c r="D11" t="s">
        <v>40</v>
      </c>
      <c r="E11" t="s">
        <v>50</v>
      </c>
    </row>
    <row r="13" spans="2:4" ht="12.75">
      <c r="B13" t="s">
        <v>51</v>
      </c>
      <c r="C13" s="33">
        <f>IF('detailed calculations'!I33="qt",'input and results'!H27*0.94,IF('input and results'!I27="gal",'input and results'!H27*3.78,'input and results'!H27))</f>
        <v>0</v>
      </c>
      <c r="D13" t="s">
        <v>40</v>
      </c>
    </row>
    <row r="14" spans="2:4" ht="12.75">
      <c r="B14" t="s">
        <v>52</v>
      </c>
      <c r="C14" s="33">
        <f>C13+C11</f>
        <v>0</v>
      </c>
      <c r="D14" t="s">
        <v>40</v>
      </c>
    </row>
    <row r="15" spans="2:5" ht="12.75">
      <c r="B15" t="s">
        <v>53</v>
      </c>
      <c r="C15" s="33">
        <f>C14-C6</f>
        <v>0</v>
      </c>
      <c r="D15" t="s">
        <v>40</v>
      </c>
      <c r="E15" t="s">
        <v>54</v>
      </c>
    </row>
    <row r="17" spans="2:4" ht="12.75">
      <c r="B17" t="s">
        <v>55</v>
      </c>
      <c r="C17" s="33">
        <f>IF('detailed calculations'!I39="qt",'input and results'!H39*0.94,IF('input and results'!I39="gal",'input and results'!H39*3.78,'input and results'!H39))</f>
        <v>0</v>
      </c>
      <c r="D17" t="s">
        <v>40</v>
      </c>
    </row>
    <row r="18" spans="2:4" ht="12.75">
      <c r="B18" t="s">
        <v>56</v>
      </c>
      <c r="C18" s="33">
        <f>IF('input and results'!I38="SG",('input and results'!H38-1)*250,'input and results'!H38)</f>
        <v>0</v>
      </c>
      <c r="D18" t="s">
        <v>32</v>
      </c>
    </row>
    <row r="24" spans="2:4" ht="12.75">
      <c r="B24" t="s">
        <v>57</v>
      </c>
      <c r="C24" s="33">
        <f>IF('input and results'!I5="lb",'input and results'!H5*0.45,'input and results'!H5)</f>
        <v>0</v>
      </c>
      <c r="D24" t="s">
        <v>48</v>
      </c>
    </row>
    <row r="25" spans="2:3" ht="12.75">
      <c r="B25" t="s">
        <v>58</v>
      </c>
      <c r="C25" s="33">
        <f>IF('input and results'!I6="ppg",'input and results'!H6/46,IF('input and results'!H6="",0.8,'input and results'!H6/100))</f>
        <v>0.8</v>
      </c>
    </row>
    <row r="27" spans="2:4" ht="12.75">
      <c r="B27" t="s">
        <v>59</v>
      </c>
      <c r="C27" s="33">
        <f>IF('input and results'!I8="lb",'input and results'!H8*0.45,'input and results'!H8)</f>
        <v>0</v>
      </c>
      <c r="D27" t="s">
        <v>48</v>
      </c>
    </row>
    <row r="28" spans="2:3" ht="12.75">
      <c r="B28" t="s">
        <v>60</v>
      </c>
      <c r="C28" s="33">
        <f>IF('input and results'!I9="ppg",'input and results'!H9/46,IF('input and results'!H9="",0.8,'input and results'!H9/100))</f>
        <v>0.8</v>
      </c>
    </row>
    <row r="30" spans="2:4" ht="12.75">
      <c r="B30" t="s">
        <v>61</v>
      </c>
      <c r="C30" s="33">
        <f>IF('input and results'!I11="lb",'input and results'!H11*0.45,'input and results'!H11)</f>
        <v>0</v>
      </c>
      <c r="D30" t="s">
        <v>48</v>
      </c>
    </row>
    <row r="31" spans="2:3" ht="12.75">
      <c r="B31" t="s">
        <v>62</v>
      </c>
      <c r="C31" s="33">
        <f>IF('input and results'!I12="ppg",'input and results'!H12/46,IF('input and results'!H12="",0.8,'input and results'!H12/100))</f>
        <v>0.8</v>
      </c>
    </row>
    <row r="33" spans="2:4" ht="12.75">
      <c r="B33" t="s">
        <v>63</v>
      </c>
      <c r="C33" s="33">
        <f>IF('input and results'!I14="lb",'input and results'!H14*0.45,'input and results'!H14)</f>
        <v>0</v>
      </c>
      <c r="D33" t="s">
        <v>48</v>
      </c>
    </row>
    <row r="34" spans="2:3" ht="12.75">
      <c r="B34" t="s">
        <v>64</v>
      </c>
      <c r="C34" s="33">
        <f>IF('input and results'!I15="ppg",'input and results'!H15/46,IF('input and results'!H15="",0.8,'input and results'!H15/100))</f>
        <v>0.8</v>
      </c>
    </row>
    <row r="36" spans="2:4" ht="12.75">
      <c r="B36" t="s">
        <v>65</v>
      </c>
      <c r="C36" s="33">
        <f>IF('input and results'!I17="lb",'input and results'!H17*0.45,'input and results'!H17)</f>
        <v>0</v>
      </c>
      <c r="D36" t="s">
        <v>48</v>
      </c>
    </row>
    <row r="37" spans="2:3" ht="12.75">
      <c r="B37" t="s">
        <v>66</v>
      </c>
      <c r="C37" s="33">
        <f>IF('input and results'!I18="ppg",'input and results'!H18/46,IF('input and results'!H18="",0.8,'input and results'!H18/100))</f>
        <v>0.8</v>
      </c>
    </row>
    <row r="39" spans="2:4" ht="12.75">
      <c r="B39" t="s">
        <v>67</v>
      </c>
      <c r="C39" s="33">
        <f>IF('input and results'!I20="lb",'input and results'!H20*0.45,'input and results'!H20)</f>
        <v>0</v>
      </c>
      <c r="D39" t="s">
        <v>48</v>
      </c>
    </row>
    <row r="40" spans="2:3" ht="12.75">
      <c r="B40" t="s">
        <v>68</v>
      </c>
      <c r="C40" s="33">
        <f>IF('input and results'!I21="ppg",'input and results'!H21/46,IF('input and results'!H21="",0.8,'input and results'!H21/100))</f>
        <v>0.8</v>
      </c>
    </row>
    <row r="42" spans="2:4" ht="12.75">
      <c r="B42" t="s">
        <v>69</v>
      </c>
      <c r="C42" s="33">
        <f>C24+C27+C30+C33+C36+C39</f>
        <v>0</v>
      </c>
      <c r="D42" t="s">
        <v>48</v>
      </c>
    </row>
    <row r="43" spans="2:4" ht="12.75">
      <c r="B43" t="s">
        <v>70</v>
      </c>
      <c r="C43" s="33">
        <f>C24*C25+C27*C28+C30*C31+C33*C34+C36*C37+C39*C40</f>
        <v>0</v>
      </c>
      <c r="D43" t="s">
        <v>48</v>
      </c>
    </row>
    <row r="47" ht="12.75">
      <c r="A47" t="s">
        <v>71</v>
      </c>
    </row>
    <row r="48" spans="2:4" ht="12.75">
      <c r="B48" t="s">
        <v>72</v>
      </c>
      <c r="C48" s="33">
        <f>IF('detailed calculations'!I48="qt",'input and results'!H42*0.94,IF('input and results'!I42="gal",'input and results'!H42*3.78,'input and results'!H42))</f>
        <v>0</v>
      </c>
      <c r="D48" t="s">
        <v>40</v>
      </c>
    </row>
    <row r="49" spans="2:4" ht="12.75">
      <c r="B49" t="s">
        <v>73</v>
      </c>
      <c r="C49" s="33">
        <f>IF('input and results'!I43="F",('input and results'!H43-32)/1.8,'input and results'!H43)</f>
        <v>0</v>
      </c>
      <c r="D49" t="s">
        <v>42</v>
      </c>
    </row>
    <row r="50" spans="2:4" ht="12.75">
      <c r="B50" t="s">
        <v>74</v>
      </c>
      <c r="C50" s="33">
        <f>IF('detailed calculations'!I50="qt",'input and results'!H44*0.94,IF('input and results'!I44="gal",'input and results'!H44*3.78,'input and results'!H44))</f>
        <v>0</v>
      </c>
      <c r="D50" t="s">
        <v>40</v>
      </c>
    </row>
    <row r="51" spans="2:4" ht="12.75">
      <c r="B51" t="s">
        <v>75</v>
      </c>
      <c r="C51" s="33">
        <f>IF('input and results'!I45="F",('input and results'!H45-32)/1.8,'input and results'!H45)</f>
        <v>0</v>
      </c>
      <c r="D51" t="s">
        <v>42</v>
      </c>
    </row>
    <row r="52" spans="2:4" ht="12.75">
      <c r="B52" t="s">
        <v>76</v>
      </c>
      <c r="C52" s="33">
        <f>IF('detailed calculations'!I52="qt",'input and results'!H46*0.94,IF('input and results'!I46="gal",'input and results'!H46*3.78,'input and results'!H46))</f>
        <v>0</v>
      </c>
      <c r="D52" t="s">
        <v>40</v>
      </c>
    </row>
    <row r="53" spans="2:4" ht="12.75">
      <c r="B53" t="s">
        <v>77</v>
      </c>
      <c r="C53" s="33">
        <f>IF('input and results'!I47="F",('input and results'!H47-32)/1.8,'input and results'!H47)</f>
        <v>0</v>
      </c>
      <c r="D53" t="s">
        <v>42</v>
      </c>
    </row>
    <row r="54" spans="2:4" ht="12.75">
      <c r="B54" t="s">
        <v>78</v>
      </c>
      <c r="C54" s="33">
        <f>IF('detailed calculations'!I54="qt",'input and results'!H48*0.94,IF('input and results'!I48="gal",'input and results'!H48*3.78,'input and results'!H48))</f>
        <v>0</v>
      </c>
      <c r="D54" t="s">
        <v>40</v>
      </c>
    </row>
    <row r="55" spans="2:4" ht="12.75">
      <c r="B55" t="s">
        <v>79</v>
      </c>
      <c r="C55" s="33">
        <f>IF('input and results'!I49="F",('input and results'!H49-32)/1.8,'input and results'!H49)</f>
        <v>0</v>
      </c>
      <c r="D55" t="s">
        <v>42</v>
      </c>
    </row>
    <row r="57" spans="2:4" ht="12.75">
      <c r="B57" t="s">
        <v>80</v>
      </c>
      <c r="C57" s="33">
        <f>C48/(1+(C49-20)*0.000475)</f>
        <v>0</v>
      </c>
      <c r="D57" t="s">
        <v>40</v>
      </c>
    </row>
    <row r="59" spans="2:4" ht="12.75">
      <c r="B59" t="s">
        <v>81</v>
      </c>
      <c r="C59" s="33">
        <f>C50/(1+(C51-20)*0.000475)</f>
        <v>0</v>
      </c>
      <c r="D59" t="s">
        <v>40</v>
      </c>
    </row>
    <row r="61" spans="2:4" ht="12.75">
      <c r="B61" t="s">
        <v>82</v>
      </c>
      <c r="C61" s="33">
        <f>C52/(1+(C53-20)*0.000475)</f>
        <v>0</v>
      </c>
      <c r="D61" t="s">
        <v>40</v>
      </c>
    </row>
    <row r="63" spans="2:4" ht="12.75">
      <c r="B63" t="s">
        <v>83</v>
      </c>
      <c r="C63" s="33">
        <f>C54/(1+(C55-20)*0.000475)</f>
        <v>0</v>
      </c>
      <c r="D63" t="s">
        <v>40</v>
      </c>
    </row>
    <row r="66" spans="2:5" ht="12.75">
      <c r="B66" t="s">
        <v>84</v>
      </c>
      <c r="C66" s="33" t="e">
        <f>IF(C57=0,C6/'input and results'!H34,'detailed calculations'!C57)</f>
        <v>#DIV/0!</v>
      </c>
      <c r="D66" t="s">
        <v>40</v>
      </c>
      <c r="E66" t="s">
        <v>85</v>
      </c>
    </row>
    <row r="67" spans="2:4" ht="12.75">
      <c r="B67" t="s">
        <v>86</v>
      </c>
      <c r="C67" s="33">
        <f>IF(C59=0,IF('input and results'!H34&lt;2,0,('detailed calculations'!C6-'detailed calculations'!C66)/('input and results'!H34-1)),'detailed calculations'!C59-'detailed calculations'!C57)</f>
        <v>0</v>
      </c>
      <c r="D67" t="s">
        <v>40</v>
      </c>
    </row>
    <row r="68" spans="2:4" ht="12.75">
      <c r="B68" t="s">
        <v>87</v>
      </c>
      <c r="C68" s="33">
        <f>IF(C61=0,IF('input and results'!H34&lt;3,0,('detailed calculations'!C6-'detailed calculations'!C67-C66)/('input and results'!H34-2)),'detailed calculations'!C61-C59)</f>
        <v>0</v>
      </c>
      <c r="D68" t="s">
        <v>40</v>
      </c>
    </row>
    <row r="69" spans="2:4" ht="12.75">
      <c r="B69" t="s">
        <v>88</v>
      </c>
      <c r="C69" s="33">
        <f>IF(C63=0,IF('input and results'!H34&lt;4,0,('detailed calculations'!C6-'detailed calculations'!C68-C67-C66)/('input and results'!H34-3)),'detailed calculations'!C63-'detailed calculations'!C61)</f>
        <v>0</v>
      </c>
      <c r="D69" t="s">
        <v>40</v>
      </c>
    </row>
    <row r="72" spans="2:3" ht="12.75">
      <c r="B72" t="s">
        <v>89</v>
      </c>
      <c r="C72" s="33" t="e">
        <f>C66/(C66+C15)</f>
        <v>#DIV/0!</v>
      </c>
    </row>
    <row r="73" spans="2:3" ht="12.75">
      <c r="B73" t="s">
        <v>90</v>
      </c>
      <c r="C73" s="33" t="e">
        <f>(1-C72)*C67/(C67+C15)</f>
        <v>#DIV/0!</v>
      </c>
    </row>
    <row r="74" spans="2:3" ht="12.75">
      <c r="B74" t="s">
        <v>91</v>
      </c>
      <c r="C74" s="33" t="e">
        <f>(1-C72-C73)*C68/(C68+C15)</f>
        <v>#DIV/0!</v>
      </c>
    </row>
    <row r="75" spans="2:3" ht="12.75">
      <c r="B75" t="s">
        <v>92</v>
      </c>
      <c r="C75" s="33" t="e">
        <f>(1-C74-C73-C72)*C69/(C69+C15)</f>
        <v>#DIV/0!</v>
      </c>
    </row>
    <row r="77" spans="2:3" ht="12.75">
      <c r="B77" t="s">
        <v>93</v>
      </c>
      <c r="C77" s="33" t="e">
        <f>SUM(C72:C75)</f>
        <v>#DIV/0!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2008-09-06T23:41:26Z</dcterms:created>
  <cp:category/>
  <cp:version/>
  <cp:contentType/>
  <cp:contentStatus/>
</cp:coreProperties>
</file>