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6650" windowHeight="11760" tabRatio="500" activeTab="0"/>
  </bookViews>
  <sheets>
    <sheet name="input" sheetId="1" r:id="rId1"/>
    <sheet name="detailed calculations" sheetId="2" r:id="rId2"/>
    <sheet name="history" sheetId="3" r:id="rId3"/>
  </sheets>
  <definedNames/>
  <calcPr fullCalcOnLoad="1"/>
</workbook>
</file>

<file path=xl/sharedStrings.xml><?xml version="1.0" encoding="utf-8"?>
<sst xmlns="http://schemas.openxmlformats.org/spreadsheetml/2006/main" count="266" uniqueCount="151">
  <si>
    <t>v1.5i</t>
  </si>
  <si>
    <t>Efficiency analysis spreadsheet</t>
  </si>
  <si>
    <t>weight unit (kg or lb)</t>
  </si>
  <si>
    <t>kg</t>
  </si>
  <si>
    <t>extract potenial unit (% or pppg)</t>
  </si>
  <si>
    <t>%</t>
  </si>
  <si>
    <t>volume unit (l, gal or qt)</t>
  </si>
  <si>
    <t>l</t>
  </si>
  <si>
    <t>gravity unit (SG or Plato)</t>
  </si>
  <si>
    <t>Plato</t>
  </si>
  <si>
    <t>temperature unit (F or C)</t>
  </si>
  <si>
    <t>C</t>
  </si>
  <si>
    <t>grist information</t>
  </si>
  <si>
    <t>value</t>
  </si>
  <si>
    <t>unit</t>
  </si>
  <si>
    <t>error</t>
  </si>
  <si>
    <t>grain 1 amount</t>
  </si>
  <si>
    <t>grain 1 extract potential</t>
  </si>
  <si>
    <t>grain 1 moisture</t>
  </si>
  <si>
    <t>grain 2 amount</t>
  </si>
  <si>
    <t>grain 2 extract potential</t>
  </si>
  <si>
    <t>grain 2 moisture</t>
  </si>
  <si>
    <t>grain 3 amount</t>
  </si>
  <si>
    <t>grain 3 extract potential</t>
  </si>
  <si>
    <t>grain 3 moisture</t>
  </si>
  <si>
    <t>grain 4 amount</t>
  </si>
  <si>
    <t>grain 4 extract potential</t>
  </si>
  <si>
    <t>grain 4 moisture</t>
  </si>
  <si>
    <t>grain 5 amount</t>
  </si>
  <si>
    <t>grain 5 extract potential</t>
  </si>
  <si>
    <t>grain 5 moisture</t>
  </si>
  <si>
    <t>grain 6 amount</t>
  </si>
  <si>
    <t>grain 6 extract potential</t>
  </si>
  <si>
    <t>grain 6 moisture</t>
  </si>
  <si>
    <t>mash information</t>
  </si>
  <si>
    <t>total water in mash</t>
  </si>
  <si>
    <t>first wort gravity</t>
  </si>
  <si>
    <t>conversion efficiency</t>
  </si>
  <si>
    <t>into kettle information</t>
  </si>
  <si>
    <t>volume of wort in kettle</t>
  </si>
  <si>
    <t>Temperature</t>
  </si>
  <si>
    <t>wort gravity</t>
  </si>
  <si>
    <t>efficiency into kettle</t>
  </si>
  <si>
    <t>lauter information</t>
  </si>
  <si>
    <t>additional wort drained</t>
  </si>
  <si>
    <t>gravity of additional wort</t>
  </si>
  <si>
    <t>water added to the spent grain</t>
  </si>
  <si>
    <t>gravity of the wort drained</t>
  </si>
  <si>
    <t>Efficiency in additional wort</t>
  </si>
  <si>
    <t>Efficiency in spent grain</t>
  </si>
  <si>
    <t>Lauter efficiency</t>
  </si>
  <si>
    <t>into fermeter information</t>
  </si>
  <si>
    <t xml:space="preserve">volume in fermeter </t>
  </si>
  <si>
    <t>gravity in fermenter</t>
  </si>
  <si>
    <t>efficiency into fermenter</t>
  </si>
  <si>
    <t>Water usage (optional)</t>
  </si>
  <si>
    <t>total water used (room temp)</t>
  </si>
  <si>
    <t>apparent grain absorption</t>
  </si>
  <si>
    <t>true grain absorption</t>
  </si>
  <si>
    <t>Starches not converted</t>
  </si>
  <si>
    <t>Extract potential lost in wort drained from lauter after collecting it in the kettle</t>
  </si>
  <si>
    <t>Extract potential held back in the wort held back by the spent grain</t>
  </si>
  <si>
    <t xml:space="preserve">% </t>
  </si>
  <si>
    <t>Extract potential into the boil kettle</t>
  </si>
  <si>
    <t>Extract potential left behind in the kettle</t>
  </si>
  <si>
    <t>Extract potential into the fermenter</t>
  </si>
  <si>
    <t>Total. This number should be close to 100%</t>
  </si>
  <si>
    <t>input</t>
  </si>
  <si>
    <t>calculated</t>
  </si>
  <si>
    <t>pppg of sugar</t>
  </si>
  <si>
    <t>default true grain absorption</t>
  </si>
  <si>
    <t>l/kg</t>
  </si>
  <si>
    <t>grain number</t>
  </si>
  <si>
    <t>grain weight metric</t>
  </si>
  <si>
    <t>grain extract dry basis</t>
  </si>
  <si>
    <t>w/w</t>
  </si>
  <si>
    <t>dry malt %</t>
  </si>
  <si>
    <t>extract potential w/ moisture</t>
  </si>
  <si>
    <t>extract weight</t>
  </si>
  <si>
    <t>grain pppg</t>
  </si>
  <si>
    <t>total grain weight</t>
  </si>
  <si>
    <t>total extract weight</t>
  </si>
  <si>
    <t>water for first runnings</t>
  </si>
  <si>
    <t>first wort extract content</t>
  </si>
  <si>
    <t>first wort extract potential</t>
  </si>
  <si>
    <t>wort temp in C</t>
  </si>
  <si>
    <t>corrected wort volume</t>
  </si>
  <si>
    <t xml:space="preserve">assumes linear expansion of wort </t>
  </si>
  <si>
    <t>wort extract</t>
  </si>
  <si>
    <t>wort SG</t>
  </si>
  <si>
    <t>kg/l</t>
  </si>
  <si>
    <t>extract in kettle</t>
  </si>
  <si>
    <t>volume of wort drained from lauter</t>
  </si>
  <si>
    <t>extract in that wort</t>
  </si>
  <si>
    <t>efficiency in that wort</t>
  </si>
  <si>
    <t>wort absorption rate by grain</t>
  </si>
  <si>
    <t>wort held in grain</t>
  </si>
  <si>
    <t>water added to spent grain</t>
  </si>
  <si>
    <t>total water in spent grain</t>
  </si>
  <si>
    <t>spent grain water extact</t>
  </si>
  <si>
    <t>amount of extract in that water</t>
  </si>
  <si>
    <t>efficiency lost in that water</t>
  </si>
  <si>
    <t>volume of wort in fermenter</t>
  </si>
  <si>
    <t>extract in fermeter</t>
  </si>
  <si>
    <t xml:space="preserve">total water used </t>
  </si>
  <si>
    <t>total extract dissolved</t>
  </si>
  <si>
    <t>assumed extract volume</t>
  </si>
  <si>
    <t>assumes an extract volume of 0.63 l/kg</t>
  </si>
  <si>
    <t>total wort volume recovered</t>
  </si>
  <si>
    <t>gal/lb</t>
  </si>
  <si>
    <t>v1.0</t>
  </si>
  <si>
    <t>initial version</t>
  </si>
  <si>
    <t>v1.1</t>
  </si>
  <si>
    <t>added moisture content to malt spec page</t>
  </si>
  <si>
    <t>v1.2</t>
  </si>
  <si>
    <t>added pie diagram for efficiency</t>
  </si>
  <si>
    <t>v1.3</t>
  </si>
  <si>
    <t>added efficiency into fermenter</t>
  </si>
  <si>
    <t>v1.3I</t>
  </si>
  <si>
    <t>created iPod/iPhone version</t>
  </si>
  <si>
    <t>v1.4i</t>
  </si>
  <si>
    <t>added grain absorption calculation</t>
  </si>
  <si>
    <t>added error analysis</t>
  </si>
  <si>
    <t>few minor bug fixes</t>
  </si>
  <si>
    <t>end of boil information</t>
  </si>
  <si>
    <t>wort volume</t>
  </si>
  <si>
    <t>temperature</t>
  </si>
  <si>
    <t>efficiency in kettle</t>
  </si>
  <si>
    <t>boil-off</t>
  </si>
  <si>
    <t>boil-off rate</t>
  </si>
  <si>
    <t xml:space="preserve">boil time </t>
  </si>
  <si>
    <t>min</t>
  </si>
  <si>
    <t>boil-off options</t>
  </si>
  <si>
    <t>volume (cold)</t>
  </si>
  <si>
    <t>gravity</t>
  </si>
  <si>
    <t>%/h</t>
  </si>
  <si>
    <t>© 2009-2010 Kai Troester, braukaiser.com</t>
  </si>
  <si>
    <t>boil off calculation</t>
  </si>
  <si>
    <t>SG</t>
  </si>
  <si>
    <t>post boil wort volume</t>
  </si>
  <si>
    <t>boil time</t>
  </si>
  <si>
    <t>wort sg</t>
  </si>
  <si>
    <t>boil-off volume</t>
  </si>
  <si>
    <t>%/hr</t>
  </si>
  <si>
    <t>v1.6i</t>
  </si>
  <si>
    <t>added post boil calculation</t>
  </si>
  <si>
    <t>added boil off prediction</t>
  </si>
  <si>
    <t>v1.7i</t>
  </si>
  <si>
    <t>fixed the conversion efficiency calculation after a bug was pointed out by Peter Hopcroft</t>
  </si>
  <si>
    <t>v1.8i</t>
  </si>
  <si>
    <t>fixed the conversion from ppg to %. The IF statement was looking for pppg intead of ppppg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</si>
</sst>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</numFmts>
  <fonts count="43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n">
        <color indexed="2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 style="thick">
        <color indexed="8"/>
      </left>
      <right>
        <color indexed="63"/>
      </right>
      <top style="thick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n">
        <color indexed="22"/>
      </bottom>
    </border>
    <border>
      <left style="thick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8"/>
      </left>
      <right style="thin">
        <color indexed="22"/>
      </right>
      <top>
        <color indexed="63"/>
      </top>
      <bottom style="thick">
        <color indexed="22"/>
      </bottom>
    </border>
    <border>
      <left style="thick">
        <color indexed="8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vertical="top"/>
      <protection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vertical="top" wrapText="1"/>
      <protection/>
    </xf>
    <xf numFmtId="0" fontId="0" fillId="33" borderId="28" xfId="0" applyNumberFormat="1" applyFont="1" applyFill="1" applyBorder="1" applyAlignment="1" applyProtection="1">
      <alignment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7" fillId="33" borderId="29" xfId="0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31" xfId="0" applyNumberFormat="1" applyFont="1" applyFill="1" applyBorder="1" applyAlignment="1" applyProtection="1">
      <alignment vertical="top" wrapText="1"/>
      <protection/>
    </xf>
    <xf numFmtId="0" fontId="0" fillId="33" borderId="32" xfId="0" applyNumberFormat="1" applyFont="1" applyFill="1" applyBorder="1" applyAlignment="1" applyProtection="1">
      <alignment/>
      <protection/>
    </xf>
    <xf numFmtId="0" fontId="0" fillId="33" borderId="21" xfId="0" applyNumberFormat="1" applyFont="1" applyFill="1" applyBorder="1" applyAlignment="1" applyProtection="1">
      <alignment/>
      <protection/>
    </xf>
    <xf numFmtId="0" fontId="7" fillId="33" borderId="33" xfId="0" applyNumberFormat="1" applyFont="1" applyFill="1" applyBorder="1" applyAlignment="1" applyProtection="1">
      <alignment/>
      <protection/>
    </xf>
    <xf numFmtId="0" fontId="7" fillId="0" borderId="34" xfId="0" applyNumberFormat="1" applyFont="1" applyFill="1" applyBorder="1" applyAlignment="1" applyProtection="1">
      <alignment/>
      <protection/>
    </xf>
    <xf numFmtId="0" fontId="7" fillId="0" borderId="35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 wrapText="1"/>
      <protection/>
    </xf>
    <xf numFmtId="0" fontId="7" fillId="33" borderId="37" xfId="0" applyNumberFormat="1" applyFont="1" applyFill="1" applyBorder="1" applyAlignment="1" applyProtection="1">
      <alignment/>
      <protection/>
    </xf>
    <xf numFmtId="0" fontId="7" fillId="0" borderId="3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0" fillId="33" borderId="28" xfId="0" applyNumberFormat="1" applyFont="1" applyFill="1" applyBorder="1" applyAlignment="1" applyProtection="1">
      <alignment/>
      <protection/>
    </xf>
    <xf numFmtId="0" fontId="7" fillId="33" borderId="3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31" xfId="0" applyNumberFormat="1" applyFont="1" applyFill="1" applyBorder="1" applyAlignment="1" applyProtection="1">
      <alignment wrapText="1"/>
      <protection/>
    </xf>
    <xf numFmtId="4" fontId="0" fillId="34" borderId="32" xfId="0" applyNumberFormat="1" applyFont="1" applyFill="1" applyBorder="1" applyAlignment="1" applyProtection="1">
      <alignment/>
      <protection/>
    </xf>
    <xf numFmtId="164" fontId="7" fillId="0" borderId="40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4" fontId="0" fillId="34" borderId="28" xfId="0" applyNumberFormat="1" applyFont="1" applyFill="1" applyBorder="1" applyAlignment="1" applyProtection="1">
      <alignment/>
      <protection/>
    </xf>
    <xf numFmtId="164" fontId="7" fillId="0" borderId="37" xfId="0" applyNumberFormat="1" applyFont="1" applyFill="1" applyBorder="1" applyAlignment="1" applyProtection="1">
      <alignment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7" fillId="0" borderId="35" xfId="0" applyNumberFormat="1" applyFont="1" applyFill="1" applyBorder="1" applyAlignment="1" applyProtection="1">
      <alignment wrapText="1"/>
      <protection/>
    </xf>
    <xf numFmtId="0" fontId="5" fillId="0" borderId="23" xfId="0" applyNumberFormat="1" applyFont="1" applyFill="1" applyBorder="1" applyAlignment="1" applyProtection="1">
      <alignment vertical="top" wrapText="1"/>
      <protection/>
    </xf>
    <xf numFmtId="2" fontId="0" fillId="34" borderId="28" xfId="0" applyNumberFormat="1" applyFill="1" applyBorder="1" applyAlignment="1" applyProtection="1">
      <alignment/>
      <protection/>
    </xf>
    <xf numFmtId="2" fontId="7" fillId="0" borderId="37" xfId="0" applyNumberFormat="1" applyFont="1" applyFill="1" applyBorder="1" applyAlignment="1" applyProtection="1">
      <alignment/>
      <protection/>
    </xf>
    <xf numFmtId="2" fontId="0" fillId="34" borderId="32" xfId="0" applyNumberFormat="1" applyFill="1" applyBorder="1" applyAlignment="1" applyProtection="1">
      <alignment/>
      <protection/>
    </xf>
    <xf numFmtId="2" fontId="7" fillId="0" borderId="40" xfId="0" applyNumberFormat="1" applyFont="1" applyFill="1" applyBorder="1" applyAlignment="1" applyProtection="1">
      <alignment/>
      <protection/>
    </xf>
    <xf numFmtId="0" fontId="7" fillId="0" borderId="35" xfId="0" applyNumberFormat="1" applyFont="1" applyFill="1" applyBorder="1" applyAlignment="1" applyProtection="1">
      <alignment vertical="top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4" fontId="0" fillId="34" borderId="24" xfId="0" applyNumberFormat="1" applyFont="1" applyFill="1" applyBorder="1" applyAlignment="1" applyProtection="1">
      <alignment/>
      <protection/>
    </xf>
    <xf numFmtId="164" fontId="7" fillId="0" borderId="41" xfId="0" applyNumberFormat="1" applyFont="1" applyFill="1" applyBorder="1" applyAlignment="1" applyProtection="1">
      <alignment/>
      <protection/>
    </xf>
    <xf numFmtId="0" fontId="7" fillId="0" borderId="37" xfId="0" applyNumberFormat="1" applyFont="1" applyFill="1" applyBorder="1" applyAlignment="1" applyProtection="1">
      <alignment/>
      <protection/>
    </xf>
    <xf numFmtId="0" fontId="0" fillId="34" borderId="28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7" fillId="0" borderId="42" xfId="0" applyNumberFormat="1" applyFont="1" applyFill="1" applyBorder="1" applyAlignment="1" applyProtection="1">
      <alignment/>
      <protection/>
    </xf>
    <xf numFmtId="0" fontId="0" fillId="35" borderId="43" xfId="0" applyNumberFormat="1" applyFont="1" applyFill="1" applyBorder="1" applyAlignment="1" applyProtection="1">
      <alignment horizontal="center"/>
      <protection/>
    </xf>
    <xf numFmtId="0" fontId="5" fillId="0" borderId="44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/>
      <protection/>
    </xf>
    <xf numFmtId="0" fontId="0" fillId="0" borderId="45" xfId="0" applyNumberFormat="1" applyFill="1" applyBorder="1" applyAlignment="1" applyProtection="1">
      <alignment/>
      <protection/>
    </xf>
    <xf numFmtId="0" fontId="0" fillId="0" borderId="46" xfId="0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 horizontal="right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 horizontal="right" vertical="top" wrapText="1"/>
      <protection/>
    </xf>
    <xf numFmtId="0" fontId="0" fillId="0" borderId="48" xfId="0" applyNumberFormat="1" applyFon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 horizontal="right"/>
      <protection/>
    </xf>
    <xf numFmtId="0" fontId="0" fillId="0" borderId="5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51" xfId="0" applyNumberFormat="1" applyFont="1" applyFill="1" applyBorder="1" applyAlignment="1" applyProtection="1">
      <alignment/>
      <protection/>
    </xf>
    <xf numFmtId="0" fontId="5" fillId="0" borderId="52" xfId="0" applyNumberFormat="1" applyFont="1" applyFill="1" applyBorder="1" applyAlignment="1" applyProtection="1">
      <alignment horizontal="center"/>
      <protection/>
    </xf>
    <xf numFmtId="0" fontId="5" fillId="0" borderId="53" xfId="0" applyNumberFormat="1" applyFont="1" applyFill="1" applyBorder="1" applyAlignment="1" applyProtection="1">
      <alignment horizontal="center"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55" xfId="0" applyNumberFormat="1" applyFill="1" applyBorder="1" applyAlignment="1" applyProtection="1">
      <alignment/>
      <protection/>
    </xf>
    <xf numFmtId="0" fontId="0" fillId="0" borderId="56" xfId="0" applyNumberFormat="1" applyFont="1" applyFill="1" applyBorder="1" applyAlignment="1" applyProtection="1">
      <alignment/>
      <protection/>
    </xf>
    <xf numFmtId="0" fontId="0" fillId="35" borderId="43" xfId="0" applyNumberFormat="1" applyFont="1" applyFill="1" applyBorder="1" applyAlignment="1" applyProtection="1">
      <alignment/>
      <protection/>
    </xf>
    <xf numFmtId="0" fontId="0" fillId="35" borderId="55" xfId="0" applyNumberFormat="1" applyFont="1" applyFill="1" applyBorder="1" applyAlignment="1" applyProtection="1">
      <alignment/>
      <protection/>
    </xf>
    <xf numFmtId="0" fontId="0" fillId="0" borderId="57" xfId="0" applyNumberFormat="1" applyFill="1" applyBorder="1" applyAlignment="1" applyProtection="1">
      <alignment/>
      <protection/>
    </xf>
    <xf numFmtId="164" fontId="0" fillId="36" borderId="43" xfId="0" applyNumberFormat="1" applyFont="1" applyFill="1" applyBorder="1" applyAlignment="1" applyProtection="1">
      <alignment horizontal="center"/>
      <protection/>
    </xf>
    <xf numFmtId="164" fontId="0" fillId="36" borderId="5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164" fontId="7" fillId="33" borderId="37" xfId="0" applyNumberFormat="1" applyFont="1" applyFill="1" applyBorder="1" applyAlignment="1" applyProtection="1">
      <alignment/>
      <protection/>
    </xf>
    <xf numFmtId="164" fontId="7" fillId="33" borderId="39" xfId="0" applyNumberFormat="1" applyFont="1" applyFill="1" applyBorder="1" applyAlignment="1" applyProtection="1">
      <alignment/>
      <protection/>
    </xf>
    <xf numFmtId="164" fontId="7" fillId="0" borderId="39" xfId="0" applyNumberFormat="1" applyFont="1" applyFill="1" applyBorder="1" applyAlignment="1" applyProtection="1">
      <alignment/>
      <protection/>
    </xf>
    <xf numFmtId="164" fontId="0" fillId="36" borderId="43" xfId="0" applyNumberFormat="1" applyFont="1" applyFill="1" applyBorder="1" applyAlignment="1" applyProtection="1">
      <alignment/>
      <protection/>
    </xf>
    <xf numFmtId="1" fontId="0" fillId="36" borderId="43" xfId="0" applyNumberFormat="1" applyFont="1" applyFill="1" applyBorder="1" applyAlignment="1" applyProtection="1">
      <alignment/>
      <protection/>
    </xf>
    <xf numFmtId="1" fontId="0" fillId="36" borderId="58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2.8515625" style="0" customWidth="1"/>
    <col min="2" max="2" width="25.7109375" style="1" customWidth="1"/>
    <col min="3" max="3" width="9.140625" style="1" customWidth="1"/>
    <col min="4" max="5" width="6.140625" style="1" customWidth="1"/>
    <col min="6" max="6" width="7.7109375" style="1" customWidth="1"/>
    <col min="7" max="7" width="3.7109375" style="1" customWidth="1"/>
    <col min="8" max="8" width="14.00390625" style="1" customWidth="1"/>
    <col min="9" max="17" width="7.7109375" style="1" customWidth="1"/>
    <col min="18" max="16384" width="9.00390625" style="1" customWidth="1"/>
  </cols>
  <sheetData>
    <row r="1" ht="12.75">
      <c r="B1" s="2" t="s">
        <v>149</v>
      </c>
    </row>
    <row r="2" spans="2:12" ht="20.25">
      <c r="B2" s="3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2:12" ht="12.75">
      <c r="B3" s="5" t="s">
        <v>2</v>
      </c>
      <c r="C3" s="6"/>
      <c r="D3" s="7" t="s">
        <v>3</v>
      </c>
      <c r="G3" s="8">
        <f>IF(OR(D3="lb",D3="kg"),"","unit must be kg or lb")</f>
      </c>
      <c r="H3" s="9"/>
      <c r="I3" s="9"/>
      <c r="J3" s="9"/>
      <c r="K3" s="9"/>
      <c r="L3" s="9"/>
    </row>
    <row r="4" spans="2:12" ht="12.75">
      <c r="B4" s="10" t="s">
        <v>4</v>
      </c>
      <c r="C4" s="11"/>
      <c r="D4" s="12" t="s">
        <v>5</v>
      </c>
      <c r="G4" s="8"/>
      <c r="H4" s="9"/>
      <c r="I4" s="9"/>
      <c r="J4" s="9"/>
      <c r="K4" s="9"/>
      <c r="L4" s="9"/>
    </row>
    <row r="5" spans="2:12" ht="20.25">
      <c r="B5" s="13" t="s">
        <v>6</v>
      </c>
      <c r="C5" s="14"/>
      <c r="D5" s="15" t="s">
        <v>7</v>
      </c>
      <c r="E5" s="16"/>
      <c r="F5" s="16"/>
      <c r="G5" s="4"/>
      <c r="H5" s="4"/>
      <c r="I5" s="4"/>
      <c r="J5" s="4"/>
      <c r="K5" s="4"/>
      <c r="L5" s="4"/>
    </row>
    <row r="6" spans="2:12" ht="20.25">
      <c r="B6" s="13" t="s">
        <v>8</v>
      </c>
      <c r="C6" s="14"/>
      <c r="D6" s="98" t="s">
        <v>9</v>
      </c>
      <c r="G6" s="4"/>
      <c r="H6" s="4"/>
      <c r="I6" s="4"/>
      <c r="J6" s="4"/>
      <c r="K6" s="4"/>
      <c r="L6" s="4"/>
    </row>
    <row r="7" spans="2:12" ht="20.25">
      <c r="B7" s="17" t="s">
        <v>10</v>
      </c>
      <c r="C7" s="18"/>
      <c r="D7" s="19" t="s">
        <v>11</v>
      </c>
      <c r="G7" s="4"/>
      <c r="H7" s="4"/>
      <c r="I7" s="4"/>
      <c r="J7" s="4"/>
      <c r="K7" s="4"/>
      <c r="L7" s="4"/>
    </row>
    <row r="8" spans="2:12" ht="20.25">
      <c r="B8" s="9"/>
      <c r="D8" s="4"/>
      <c r="E8" s="20"/>
      <c r="F8" s="20"/>
      <c r="G8" s="4"/>
      <c r="H8" s="4"/>
      <c r="I8" s="4"/>
      <c r="J8" s="4"/>
      <c r="K8" s="4"/>
      <c r="L8" s="4"/>
    </row>
    <row r="9" spans="2:6" ht="12.75">
      <c r="B9" s="21" t="s">
        <v>12</v>
      </c>
      <c r="C9" s="22" t="s">
        <v>13</v>
      </c>
      <c r="D9" s="23" t="s">
        <v>14</v>
      </c>
      <c r="E9" s="24" t="s">
        <v>15</v>
      </c>
      <c r="F9" s="25"/>
    </row>
    <row r="10" spans="2:10" ht="12.75">
      <c r="B10" s="26" t="s">
        <v>16</v>
      </c>
      <c r="C10" s="27"/>
      <c r="D10" s="28" t="str">
        <f>D3</f>
        <v>kg</v>
      </c>
      <c r="E10" s="29"/>
      <c r="F10" s="30" t="str">
        <f>CONCATENATE("+/-",D10)</f>
        <v>+/-kg</v>
      </c>
      <c r="G10" s="8">
        <f>IF(OR(D10="lb",D10="kg"),"","unit must be kg or lb")</f>
      </c>
      <c r="H10" s="31"/>
      <c r="I10" s="31"/>
      <c r="J10" s="31"/>
    </row>
    <row r="11" spans="2:16" ht="12.75">
      <c r="B11" s="26" t="s">
        <v>17</v>
      </c>
      <c r="C11" s="27">
        <v>80</v>
      </c>
      <c r="D11" s="28" t="str">
        <f>$D$4</f>
        <v>%</v>
      </c>
      <c r="E11" s="29"/>
      <c r="F11" s="30" t="str">
        <f aca="true" t="shared" si="0" ref="F11:F74">CONCATENATE("+/-",D11)</f>
        <v>+/-%</v>
      </c>
      <c r="G11" s="8">
        <f>IF(OR(D11="%",D11="pppg",C11=""),"","unit must be % or pppg")</f>
      </c>
      <c r="H11" s="32"/>
      <c r="I11" s="32"/>
      <c r="J11" s="32"/>
      <c r="O11" s="8"/>
      <c r="P11" s="8"/>
    </row>
    <row r="12" spans="2:16" ht="12.75">
      <c r="B12" s="26" t="s">
        <v>18</v>
      </c>
      <c r="C12" s="27">
        <v>4</v>
      </c>
      <c r="D12" s="28" t="s">
        <v>5</v>
      </c>
      <c r="E12" s="29"/>
      <c r="F12" s="30" t="str">
        <f t="shared" si="0"/>
        <v>+/-%</v>
      </c>
      <c r="G12" s="8">
        <f>IF(OR(D12="%",C12=""),"","unit must be %")</f>
      </c>
      <c r="H12" s="32"/>
      <c r="I12" s="32"/>
      <c r="J12" s="32"/>
      <c r="O12" s="8"/>
      <c r="P12" s="8"/>
    </row>
    <row r="13" spans="2:17" ht="12.75">
      <c r="B13" s="26" t="s">
        <v>19</v>
      </c>
      <c r="C13" s="27"/>
      <c r="D13" s="28" t="str">
        <f>$D$3</f>
        <v>kg</v>
      </c>
      <c r="E13" s="29"/>
      <c r="F13" s="30" t="str">
        <f t="shared" si="0"/>
        <v>+/-kg</v>
      </c>
      <c r="G13" s="8">
        <f>IF(OR(D13="lb",D13="kg",C13=""),"","unit must be kg or lb")</f>
      </c>
      <c r="H13" s="32"/>
      <c r="I13" s="32"/>
      <c r="J13" s="32"/>
      <c r="O13" s="8"/>
      <c r="P13" s="8"/>
      <c r="Q13" s="33"/>
    </row>
    <row r="14" spans="2:16" ht="12.75">
      <c r="B14" s="26" t="s">
        <v>20</v>
      </c>
      <c r="C14" s="27">
        <v>80</v>
      </c>
      <c r="D14" s="28" t="str">
        <f>$D$4</f>
        <v>%</v>
      </c>
      <c r="E14" s="29"/>
      <c r="F14" s="30" t="str">
        <f t="shared" si="0"/>
        <v>+/-%</v>
      </c>
      <c r="G14" s="8">
        <f>IF(OR(D14="%",D14="pppg",C14=""),"","unit must be % or pppg")</f>
      </c>
      <c r="H14" s="32"/>
      <c r="I14" s="32"/>
      <c r="J14" s="32"/>
      <c r="O14" s="8"/>
      <c r="P14" s="8"/>
    </row>
    <row r="15" spans="2:16" ht="12.75">
      <c r="B15" s="26" t="s">
        <v>21</v>
      </c>
      <c r="C15" s="27">
        <v>4</v>
      </c>
      <c r="D15" s="28" t="s">
        <v>5</v>
      </c>
      <c r="E15" s="29"/>
      <c r="F15" s="30" t="str">
        <f t="shared" si="0"/>
        <v>+/-%</v>
      </c>
      <c r="G15" s="8">
        <f>IF(OR(D15="%",C15=""),"","unit must be %")</f>
      </c>
      <c r="H15" s="32"/>
      <c r="I15" s="32"/>
      <c r="J15" s="32"/>
      <c r="O15" s="8"/>
      <c r="P15" s="8"/>
    </row>
    <row r="16" spans="2:16" ht="12.75">
      <c r="B16" s="26" t="s">
        <v>22</v>
      </c>
      <c r="C16" s="27"/>
      <c r="D16" s="28" t="str">
        <f>$D$3</f>
        <v>kg</v>
      </c>
      <c r="E16" s="29"/>
      <c r="F16" s="30" t="str">
        <f t="shared" si="0"/>
        <v>+/-kg</v>
      </c>
      <c r="G16" s="8">
        <f>IF(OR(D16="lb",D16="kg",C16=""),"","unit must be kg or lb")</f>
      </c>
      <c r="H16" s="32"/>
      <c r="I16" s="32"/>
      <c r="J16" s="32"/>
      <c r="O16" s="8"/>
      <c r="P16" s="8"/>
    </row>
    <row r="17" spans="2:16" ht="12.75">
      <c r="B17" s="26" t="s">
        <v>23</v>
      </c>
      <c r="C17" s="27">
        <v>80</v>
      </c>
      <c r="D17" s="28" t="str">
        <f>$D$4</f>
        <v>%</v>
      </c>
      <c r="E17" s="29"/>
      <c r="F17" s="30" t="str">
        <f t="shared" si="0"/>
        <v>+/-%</v>
      </c>
      <c r="G17" s="8">
        <f>IF(OR(D17="%",D17="pppg",C17=""),"","unit must be % or pppg")</f>
      </c>
      <c r="H17" s="32"/>
      <c r="I17" s="32"/>
      <c r="J17" s="32"/>
      <c r="O17" s="8"/>
      <c r="P17" s="8"/>
    </row>
    <row r="18" spans="2:16" ht="12.75">
      <c r="B18" s="26" t="s">
        <v>24</v>
      </c>
      <c r="C18" s="27">
        <v>4</v>
      </c>
      <c r="D18" s="28" t="s">
        <v>5</v>
      </c>
      <c r="E18" s="29"/>
      <c r="F18" s="30" t="str">
        <f t="shared" si="0"/>
        <v>+/-%</v>
      </c>
      <c r="G18" s="8">
        <f>IF(OR(D18="%",C18=""),"","unit must be %")</f>
      </c>
      <c r="H18" s="32"/>
      <c r="I18" s="32"/>
      <c r="J18" s="32"/>
      <c r="O18" s="8"/>
      <c r="P18" s="8"/>
    </row>
    <row r="19" spans="2:16" ht="12.75">
      <c r="B19" s="26" t="s">
        <v>25</v>
      </c>
      <c r="C19" s="27"/>
      <c r="D19" s="28" t="str">
        <f>$D$3</f>
        <v>kg</v>
      </c>
      <c r="E19" s="29"/>
      <c r="F19" s="30" t="str">
        <f t="shared" si="0"/>
        <v>+/-kg</v>
      </c>
      <c r="G19" s="8">
        <f>IF(OR(D19="lb",D19="kg",C19=""),"","unit must be kg or lb")</f>
      </c>
      <c r="H19" s="32"/>
      <c r="I19" s="32"/>
      <c r="J19" s="32"/>
      <c r="O19" s="8"/>
      <c r="P19" s="8"/>
    </row>
    <row r="20" spans="2:16" ht="12.75">
      <c r="B20" s="26" t="s">
        <v>26</v>
      </c>
      <c r="C20" s="27">
        <v>80</v>
      </c>
      <c r="D20" s="28" t="str">
        <f>$D$4</f>
        <v>%</v>
      </c>
      <c r="E20" s="29"/>
      <c r="F20" s="30" t="str">
        <f t="shared" si="0"/>
        <v>+/-%</v>
      </c>
      <c r="G20" s="8">
        <f>IF(OR(D20="%",D20="pppg",C20=""),"","unit must be % or pppg")</f>
      </c>
      <c r="H20" s="32"/>
      <c r="I20" s="32"/>
      <c r="J20" s="32"/>
      <c r="O20" s="8"/>
      <c r="P20" s="8"/>
    </row>
    <row r="21" spans="2:16" ht="12.75">
      <c r="B21" s="26" t="s">
        <v>27</v>
      </c>
      <c r="C21" s="27">
        <v>4</v>
      </c>
      <c r="D21" s="28" t="s">
        <v>5</v>
      </c>
      <c r="E21" s="29"/>
      <c r="F21" s="30" t="str">
        <f t="shared" si="0"/>
        <v>+/-%</v>
      </c>
      <c r="G21" s="8">
        <f>IF(OR(D21="%",C21=""),"","unit must be %")</f>
      </c>
      <c r="H21" s="32"/>
      <c r="I21" s="32"/>
      <c r="J21" s="32"/>
      <c r="O21" s="8"/>
      <c r="P21" s="8"/>
    </row>
    <row r="22" spans="2:16" ht="12.75">
      <c r="B22" s="26" t="s">
        <v>28</v>
      </c>
      <c r="C22" s="27"/>
      <c r="D22" s="28" t="str">
        <f>$D$3</f>
        <v>kg</v>
      </c>
      <c r="E22" s="29"/>
      <c r="F22" s="30" t="str">
        <f t="shared" si="0"/>
        <v>+/-kg</v>
      </c>
      <c r="G22" s="8">
        <f>IF(OR(D22="lb",D22="kg",C22=""),"","unit must be kg or lb")</f>
      </c>
      <c r="H22" s="32"/>
      <c r="I22" s="32"/>
      <c r="J22" s="32"/>
      <c r="O22" s="8"/>
      <c r="P22" s="8"/>
    </row>
    <row r="23" spans="2:16" ht="12.75">
      <c r="B23" s="26" t="s">
        <v>29</v>
      </c>
      <c r="C23" s="27">
        <v>80</v>
      </c>
      <c r="D23" s="28" t="str">
        <f>$D$4</f>
        <v>%</v>
      </c>
      <c r="E23" s="29"/>
      <c r="F23" s="30" t="str">
        <f t="shared" si="0"/>
        <v>+/-%</v>
      </c>
      <c r="G23" s="8">
        <f>IF(OR(D23="%",D23="pppg",C23=""),"","unit must be % or pppg")</f>
      </c>
      <c r="H23" s="32"/>
      <c r="I23" s="32"/>
      <c r="J23" s="32"/>
      <c r="O23" s="8"/>
      <c r="P23" s="8"/>
    </row>
    <row r="24" spans="2:16" ht="12.75">
      <c r="B24" s="26" t="s">
        <v>30</v>
      </c>
      <c r="C24" s="27">
        <v>4</v>
      </c>
      <c r="D24" s="28" t="s">
        <v>5</v>
      </c>
      <c r="E24" s="29"/>
      <c r="F24" s="30" t="str">
        <f t="shared" si="0"/>
        <v>+/-%</v>
      </c>
      <c r="G24" s="8">
        <f>IF(OR(D24="%",C24=""),"","unit must be %")</f>
      </c>
      <c r="H24" s="32"/>
      <c r="I24" s="32"/>
      <c r="J24" s="32"/>
      <c r="O24" s="8"/>
      <c r="P24" s="8"/>
    </row>
    <row r="25" spans="2:16" ht="12.75">
      <c r="B25" s="26" t="s">
        <v>31</v>
      </c>
      <c r="C25" s="27"/>
      <c r="D25" s="28" t="str">
        <f>$D$3</f>
        <v>kg</v>
      </c>
      <c r="E25" s="29"/>
      <c r="F25" s="30" t="str">
        <f t="shared" si="0"/>
        <v>+/-kg</v>
      </c>
      <c r="G25" s="8">
        <f>IF(OR(D25="lb",D25="kg",C25=""),"","unit must be kg or lb")</f>
      </c>
      <c r="H25" s="32"/>
      <c r="I25" s="32"/>
      <c r="J25" s="32"/>
      <c r="O25" s="8"/>
      <c r="P25" s="8"/>
    </row>
    <row r="26" spans="2:16" ht="12.75">
      <c r="B26" s="26" t="s">
        <v>32</v>
      </c>
      <c r="C26" s="27">
        <v>80</v>
      </c>
      <c r="D26" s="28" t="str">
        <f>$D$4</f>
        <v>%</v>
      </c>
      <c r="E26" s="29"/>
      <c r="F26" s="30" t="str">
        <f t="shared" si="0"/>
        <v>+/-%</v>
      </c>
      <c r="G26" s="8">
        <f>IF(OR(D26="%",D26="pppg",C26=""),"","unit must be % or pppg")</f>
      </c>
      <c r="H26" s="32"/>
      <c r="I26" s="32"/>
      <c r="J26" s="32"/>
      <c r="O26" s="8"/>
      <c r="P26" s="8"/>
    </row>
    <row r="27" spans="2:16" ht="12.75">
      <c r="B27" s="34" t="s">
        <v>33</v>
      </c>
      <c r="C27" s="35">
        <v>4</v>
      </c>
      <c r="D27" s="36" t="s">
        <v>5</v>
      </c>
      <c r="E27" s="37"/>
      <c r="F27" s="38" t="str">
        <f t="shared" si="0"/>
        <v>+/-%</v>
      </c>
      <c r="G27" s="8">
        <f>IF(OR(D27="%",C27=""),"","unit must be %")</f>
      </c>
      <c r="H27" s="32"/>
      <c r="I27" s="32"/>
      <c r="J27" s="32"/>
      <c r="O27" s="8"/>
      <c r="P27" s="8"/>
    </row>
    <row r="28" spans="2:16" ht="12.75">
      <c r="B28" s="32"/>
      <c r="E28" s="39"/>
      <c r="F28" s="39"/>
      <c r="G28" s="8"/>
      <c r="H28" s="32"/>
      <c r="I28" s="32"/>
      <c r="J28" s="32"/>
      <c r="O28" s="8"/>
      <c r="P28" s="8"/>
    </row>
    <row r="29" spans="2:9" ht="12.75">
      <c r="B29" s="40" t="s">
        <v>34</v>
      </c>
      <c r="C29" s="22" t="s">
        <v>13</v>
      </c>
      <c r="D29" s="23" t="s">
        <v>14</v>
      </c>
      <c r="E29" s="41" t="s">
        <v>15</v>
      </c>
      <c r="F29" s="42"/>
      <c r="I29" s="43"/>
    </row>
    <row r="30" spans="2:8" ht="12.75">
      <c r="B30" s="44" t="s">
        <v>35</v>
      </c>
      <c r="C30" s="27"/>
      <c r="D30" s="28" t="str">
        <f>$D$5</f>
        <v>l</v>
      </c>
      <c r="E30" s="45"/>
      <c r="F30" s="46" t="str">
        <f t="shared" si="0"/>
        <v>+/-l</v>
      </c>
      <c r="G30" s="8">
        <f>IF(OR(D30="l",D30="gal",D30="qt"),"","unit must be l, qt or gal")</f>
      </c>
      <c r="H30" s="47"/>
    </row>
    <row r="31" spans="2:16" ht="12.75">
      <c r="B31" s="44" t="s">
        <v>36</v>
      </c>
      <c r="C31" s="48"/>
      <c r="D31" s="28" t="str">
        <f>D6</f>
        <v>Plato</v>
      </c>
      <c r="E31" s="49"/>
      <c r="F31" s="46" t="str">
        <f t="shared" si="0"/>
        <v>+/-Plato</v>
      </c>
      <c r="G31" s="50">
        <f>IF(OR(D31="Plato",D31="SG"),"","unit must be Plato or SG")</f>
      </c>
      <c r="H31" s="47"/>
      <c r="O31" s="33">
        <f>IF(AND(C31&lt;2,D31="SG"),"enter SG values without the dot as 10xx and not as 1.0xx","")</f>
      </c>
      <c r="P31" s="8"/>
    </row>
    <row r="32" spans="2:8" ht="12.75">
      <c r="B32" s="51" t="s">
        <v>37</v>
      </c>
      <c r="C32" s="52" t="e">
        <f>'detailed calculations'!B19</f>
        <v>#DIV/0!</v>
      </c>
      <c r="D32" s="19" t="s">
        <v>5</v>
      </c>
      <c r="E32" s="53" t="e">
        <f>'detailed calculations'!I19</f>
        <v>#DIV/0!</v>
      </c>
      <c r="F32" s="38" t="str">
        <f t="shared" si="0"/>
        <v>+/-%</v>
      </c>
      <c r="H32" s="47"/>
    </row>
    <row r="33" spans="2:8" ht="14.25" thickBot="1" thickTop="1">
      <c r="B33" s="47"/>
      <c r="E33" s="39"/>
      <c r="F33" s="39"/>
      <c r="H33" s="47"/>
    </row>
    <row r="34" spans="2:14" ht="13.5" thickTop="1">
      <c r="B34" s="40" t="s">
        <v>38</v>
      </c>
      <c r="C34" s="22" t="s">
        <v>13</v>
      </c>
      <c r="D34" s="23" t="s">
        <v>14</v>
      </c>
      <c r="E34" s="41" t="s">
        <v>15</v>
      </c>
      <c r="F34" s="42"/>
      <c r="H34" s="76"/>
      <c r="I34" s="77"/>
      <c r="J34" s="78" t="s">
        <v>132</v>
      </c>
      <c r="K34" s="77"/>
      <c r="L34" s="77"/>
      <c r="M34" s="77"/>
      <c r="N34" s="79"/>
    </row>
    <row r="35" spans="2:14" ht="12.75">
      <c r="B35" s="26" t="s">
        <v>39</v>
      </c>
      <c r="C35" s="27"/>
      <c r="D35" s="28" t="str">
        <f>$D$5</f>
        <v>l</v>
      </c>
      <c r="E35" s="45"/>
      <c r="F35" s="46" t="str">
        <f t="shared" si="0"/>
        <v>+/-l</v>
      </c>
      <c r="G35" s="8">
        <f>IF(OR(D35="l",D35="gal",D35="qt"),"","unit must be l, qt or gal")</f>
      </c>
      <c r="H35" s="80" t="s">
        <v>128</v>
      </c>
      <c r="I35" s="75">
        <v>5</v>
      </c>
      <c r="J35" s="75">
        <v>10</v>
      </c>
      <c r="K35" s="75">
        <v>15</v>
      </c>
      <c r="L35" s="75">
        <v>20</v>
      </c>
      <c r="M35" s="75">
        <v>25</v>
      </c>
      <c r="N35" s="81" t="s">
        <v>5</v>
      </c>
    </row>
    <row r="36" spans="2:16" ht="12.75">
      <c r="B36" s="54" t="s">
        <v>40</v>
      </c>
      <c r="C36" s="27"/>
      <c r="D36" s="28" t="str">
        <f>$D$7</f>
        <v>C</v>
      </c>
      <c r="E36" s="49"/>
      <c r="F36" s="46" t="str">
        <f t="shared" si="0"/>
        <v>+/-C</v>
      </c>
      <c r="G36" s="8">
        <f>IF(OR(D36="C",D36="F"),"","unit must be C or F")</f>
      </c>
      <c r="H36" s="82" t="s">
        <v>133</v>
      </c>
      <c r="I36" s="96">
        <f>IF($N36="l",'detailed calculations'!L21,IF(input!$N36="gal",'detailed calculations'!L21/3.78,'detailed calculations'!L21/0.96))</f>
        <v>0</v>
      </c>
      <c r="J36" s="96">
        <f>IF($N36="l",'detailed calculations'!M21,IF(input!$N36="gal",'detailed calculations'!M21/3.78,'detailed calculations'!M21/0.96))</f>
        <v>0</v>
      </c>
      <c r="K36" s="96">
        <f>IF($N36="l",'detailed calculations'!N21,IF(input!$N36="gal",'detailed calculations'!N21/3.78,'detailed calculations'!N21/0.96))</f>
        <v>0</v>
      </c>
      <c r="L36" s="96">
        <f>IF($N36="l",'detailed calculations'!O21,IF(input!$N36="gal",'detailed calculations'!O21/3.78,'detailed calculations'!O21/0.96))</f>
        <v>0</v>
      </c>
      <c r="M36" s="96">
        <f>IF($N36="l",'detailed calculations'!P21,IF(input!$N36="gal",'detailed calculations'!P21/3.78,'detailed calculations'!P21/0.96))</f>
        <v>0</v>
      </c>
      <c r="N36" s="83" t="str">
        <f>D5</f>
        <v>l</v>
      </c>
      <c r="O36" s="8"/>
      <c r="P36" s="8"/>
    </row>
    <row r="37" spans="2:16" ht="13.5" thickBot="1">
      <c r="B37" s="44" t="s">
        <v>41</v>
      </c>
      <c r="C37" s="27"/>
      <c r="D37" s="28" t="str">
        <f>$D$6</f>
        <v>Plato</v>
      </c>
      <c r="E37" s="49"/>
      <c r="F37" s="46" t="str">
        <f t="shared" si="0"/>
        <v>+/-Plato</v>
      </c>
      <c r="G37" s="50">
        <f>IF(OR(D37="Plato",D37="SG"),"","unit must be Plato or SG")</f>
      </c>
      <c r="H37" s="84" t="s">
        <v>134</v>
      </c>
      <c r="I37" s="97" t="e">
        <f>IF($N$37="SG",'detailed calculations'!L23,'detailed calculations'!L22)</f>
        <v>#DIV/0!</v>
      </c>
      <c r="J37" s="97" t="e">
        <f>IF($N$37="SG",'detailed calculations'!M23,'detailed calculations'!M22)</f>
        <v>#DIV/0!</v>
      </c>
      <c r="K37" s="97" t="e">
        <f>IF($N$37="SG",'detailed calculations'!N23,'detailed calculations'!N22)</f>
        <v>#DIV/0!</v>
      </c>
      <c r="L37" s="97" t="e">
        <f>IF($N$37="SG",'detailed calculations'!O23,'detailed calculations'!O22)</f>
        <v>#DIV/0!</v>
      </c>
      <c r="M37" s="97" t="e">
        <f>IF($N$37="SG",'detailed calculations'!P23,'detailed calculations'!P22)</f>
        <v>#DIV/0!</v>
      </c>
      <c r="N37" s="85" t="str">
        <f>D6</f>
        <v>Plato</v>
      </c>
      <c r="O37" s="33">
        <f>IF(AND(C37&lt;2,D37="SG"),"enter SG values without the dot as 10xx and not as 1.0xx","")</f>
      </c>
      <c r="P37" s="50"/>
    </row>
    <row r="38" spans="2:16" ht="14.25" thickBot="1" thickTop="1">
      <c r="B38" s="51" t="s">
        <v>42</v>
      </c>
      <c r="C38" s="52" t="e">
        <f>'detailed calculations'!B27</f>
        <v>#DIV/0!</v>
      </c>
      <c r="D38" s="19" t="s">
        <v>5</v>
      </c>
      <c r="E38" s="53" t="e">
        <f>'detailed calculations'!I27</f>
        <v>#DIV/0!</v>
      </c>
      <c r="F38" s="38" t="str">
        <f t="shared" si="0"/>
        <v>+/-%</v>
      </c>
      <c r="H38" s="47"/>
      <c r="O38" s="33">
        <f>IF(AND(C37&lt;2,D37="SG"),"enter SG values without the dot as 10xx and not as 1.0xx","")</f>
      </c>
      <c r="P38" s="50"/>
    </row>
    <row r="39" spans="5:6" ht="12.75">
      <c r="E39" s="39"/>
      <c r="F39" s="39"/>
    </row>
    <row r="40" spans="2:8" ht="12.75">
      <c r="B40" s="40" t="s">
        <v>43</v>
      </c>
      <c r="C40" s="22" t="s">
        <v>13</v>
      </c>
      <c r="D40" s="23" t="s">
        <v>14</v>
      </c>
      <c r="E40" s="41" t="s">
        <v>15</v>
      </c>
      <c r="F40" s="42"/>
      <c r="H40" s="43"/>
    </row>
    <row r="41" spans="2:8" ht="12.75">
      <c r="B41" s="26" t="s">
        <v>44</v>
      </c>
      <c r="C41" s="27"/>
      <c r="D41" s="28" t="str">
        <f>$D$5</f>
        <v>l</v>
      </c>
      <c r="E41" s="45"/>
      <c r="F41" s="30" t="str">
        <f t="shared" si="0"/>
        <v>+/-l</v>
      </c>
      <c r="G41" s="8">
        <f>IF(OR(D41="l",D41="gal",D41="qt"),"","unit must be l, qt or gal")</f>
      </c>
      <c r="H41" s="32"/>
    </row>
    <row r="42" spans="2:16" ht="12.75">
      <c r="B42" s="44" t="s">
        <v>45</v>
      </c>
      <c r="C42" s="27"/>
      <c r="D42" s="28" t="str">
        <f>$D$6</f>
        <v>Plato</v>
      </c>
      <c r="E42" s="45"/>
      <c r="F42" s="30" t="str">
        <f t="shared" si="0"/>
        <v>+/-Plato</v>
      </c>
      <c r="G42" s="50">
        <f>IF(OR(D42="Plato",D42="SG"),"","unit must be Plato or SG")</f>
      </c>
      <c r="H42" s="47"/>
      <c r="O42" s="33">
        <f>IF(AND(C42&lt;2,D42="SG"),"enter SG values without the dot as 10xx and not as 1.0xx","")</f>
      </c>
      <c r="P42" s="8"/>
    </row>
    <row r="43" spans="2:16" ht="25.5">
      <c r="B43" s="44" t="s">
        <v>46</v>
      </c>
      <c r="C43" s="27"/>
      <c r="D43" s="28" t="str">
        <f>$D$5</f>
        <v>l</v>
      </c>
      <c r="E43" s="45"/>
      <c r="F43" s="30" t="str">
        <f t="shared" si="0"/>
        <v>+/-l</v>
      </c>
      <c r="G43" s="8">
        <f>IF(OR(D43="l",D43="gal",D43="qt"),"","unit must be l, qt or gal")</f>
      </c>
      <c r="H43" s="47"/>
      <c r="P43" s="50"/>
    </row>
    <row r="44" spans="2:15" ht="12.75">
      <c r="B44" s="44" t="s">
        <v>47</v>
      </c>
      <c r="C44" s="27"/>
      <c r="D44" s="28" t="str">
        <f>$D$6</f>
        <v>Plato</v>
      </c>
      <c r="E44" s="45"/>
      <c r="F44" s="30" t="str">
        <f t="shared" si="0"/>
        <v>+/-Plato</v>
      </c>
      <c r="G44" s="50">
        <f>IF(OR(D44="Plato",D44="SG"),"","unit must be Plato or SG")</f>
      </c>
      <c r="H44" s="47"/>
      <c r="O44" s="33">
        <f>IF(AND(C44&lt;2,D44="SG"),"enter SG values without the dot as 10xx and not as 1.0xx","")</f>
      </c>
    </row>
    <row r="45" spans="2:6" ht="12.75">
      <c r="B45" s="54" t="s">
        <v>48</v>
      </c>
      <c r="C45" s="55" t="e">
        <f>'detailed calculations'!B47</f>
        <v>#DIV/0!</v>
      </c>
      <c r="D45" s="15" t="s">
        <v>5</v>
      </c>
      <c r="E45" s="56" t="e">
        <f>'detailed calculations'!I47</f>
        <v>#DIV/0!</v>
      </c>
      <c r="F45" s="30" t="str">
        <f t="shared" si="0"/>
        <v>+/-%</v>
      </c>
    </row>
    <row r="46" spans="2:6" ht="12.75">
      <c r="B46" s="54" t="s">
        <v>49</v>
      </c>
      <c r="C46" s="55" t="e">
        <f>'detailed calculations'!B56</f>
        <v>#DIV/0!</v>
      </c>
      <c r="D46" s="15" t="s">
        <v>5</v>
      </c>
      <c r="E46" s="56" t="e">
        <f>'detailed calculations'!I56</f>
        <v>#DIV/0!</v>
      </c>
      <c r="F46" s="30" t="str">
        <f t="shared" si="0"/>
        <v>+/-%</v>
      </c>
    </row>
    <row r="47" spans="2:6" ht="13.5" thickBot="1">
      <c r="B47" s="57" t="s">
        <v>50</v>
      </c>
      <c r="C47" s="52" t="e">
        <f>100*(C32-C45-C46)/C32</f>
        <v>#DIV/0!</v>
      </c>
      <c r="D47" s="19" t="s">
        <v>5</v>
      </c>
      <c r="E47" s="53" t="e">
        <f>C47*SQRT(SUMSQ(E32/C32,SQRT(SUMSQ(E32,E45,E46))/(C32-C45-C46)))</f>
        <v>#DIV/0!</v>
      </c>
      <c r="F47" s="38" t="str">
        <f t="shared" si="0"/>
        <v>+/-%</v>
      </c>
    </row>
    <row r="48" spans="5:6" ht="14.25" thickBot="1" thickTop="1">
      <c r="E48" s="74"/>
      <c r="F48" s="74"/>
    </row>
    <row r="49" spans="2:6" ht="13.5" thickTop="1">
      <c r="B49" s="87" t="s">
        <v>124</v>
      </c>
      <c r="C49" s="88" t="s">
        <v>13</v>
      </c>
      <c r="D49" s="89" t="s">
        <v>14</v>
      </c>
      <c r="E49" s="41" t="s">
        <v>15</v>
      </c>
      <c r="F49" s="42"/>
    </row>
    <row r="50" spans="2:6" ht="12.75">
      <c r="B50" s="90" t="s">
        <v>125</v>
      </c>
      <c r="C50" s="93"/>
      <c r="D50" s="94" t="str">
        <f>D5</f>
        <v>l</v>
      </c>
      <c r="E50" s="99">
        <v>1</v>
      </c>
      <c r="F50" s="46" t="str">
        <f aca="true" t="shared" si="1" ref="F50:F56">CONCATENATE("+/-",D50)</f>
        <v>+/-l</v>
      </c>
    </row>
    <row r="51" spans="2:6" ht="12.75">
      <c r="B51" s="90" t="s">
        <v>126</v>
      </c>
      <c r="C51" s="93"/>
      <c r="D51" s="94" t="str">
        <f>D7</f>
        <v>C</v>
      </c>
      <c r="E51" s="100">
        <v>1</v>
      </c>
      <c r="F51" s="46" t="str">
        <f t="shared" si="1"/>
        <v>+/-C</v>
      </c>
    </row>
    <row r="52" spans="2:6" ht="12.75">
      <c r="B52" s="90" t="s">
        <v>130</v>
      </c>
      <c r="C52" s="93"/>
      <c r="D52" s="91" t="s">
        <v>131</v>
      </c>
      <c r="E52" s="100">
        <v>1</v>
      </c>
      <c r="F52" s="46" t="str">
        <f t="shared" si="1"/>
        <v>+/-min</v>
      </c>
    </row>
    <row r="53" spans="2:15" ht="12.75">
      <c r="B53" s="90" t="s">
        <v>41</v>
      </c>
      <c r="C53" s="93"/>
      <c r="D53" s="94" t="str">
        <f>D6</f>
        <v>Plato</v>
      </c>
      <c r="E53" s="99">
        <v>1</v>
      </c>
      <c r="F53" s="46" t="str">
        <f t="shared" si="1"/>
        <v>+/-Plato</v>
      </c>
      <c r="O53" s="33">
        <f>IF(AND(C53&lt;2,D53="SG"),"enter SG values without the dot as 10xx and not as 1.0xx","")</f>
      </c>
    </row>
    <row r="54" spans="2:6" ht="12.75">
      <c r="B54" s="90" t="s">
        <v>127</v>
      </c>
      <c r="C54" s="102" t="e">
        <f>'detailed calculations'!B36</f>
        <v>#DIV/0!</v>
      </c>
      <c r="D54" s="91" t="s">
        <v>5</v>
      </c>
      <c r="E54" s="101" t="e">
        <f>'detailed calculations'!I36</f>
        <v>#DIV/0!</v>
      </c>
      <c r="F54" s="46" t="str">
        <f t="shared" si="1"/>
        <v>+/-%</v>
      </c>
    </row>
    <row r="55" spans="2:6" ht="12.75">
      <c r="B55" s="90" t="s">
        <v>128</v>
      </c>
      <c r="C55" s="103" t="e">
        <f>'detailed calculations'!B38</f>
        <v>#DIV/0!</v>
      </c>
      <c r="D55" s="91" t="s">
        <v>5</v>
      </c>
      <c r="E55" s="101" t="e">
        <f>'detailed calculations'!I38</f>
        <v>#DIV/0!</v>
      </c>
      <c r="F55" s="46" t="str">
        <f t="shared" si="1"/>
        <v>+/-%</v>
      </c>
    </row>
    <row r="56" spans="2:6" ht="13.5" thickBot="1">
      <c r="B56" s="92" t="s">
        <v>129</v>
      </c>
      <c r="C56" s="104" t="e">
        <f>'detailed calculations'!B39</f>
        <v>#DIV/0!</v>
      </c>
      <c r="D56" s="95" t="s">
        <v>135</v>
      </c>
      <c r="E56" s="53" t="e">
        <f>'detailed calculations'!I39</f>
        <v>#DIV/0!</v>
      </c>
      <c r="F56" s="38" t="str">
        <f t="shared" si="1"/>
        <v>+/-%/h</v>
      </c>
    </row>
    <row r="57" spans="5:6" ht="14.25" thickBot="1" thickTop="1">
      <c r="E57" s="86"/>
      <c r="F57" s="86"/>
    </row>
    <row r="58" spans="2:8" ht="13.5" thickTop="1">
      <c r="B58" s="40" t="s">
        <v>51</v>
      </c>
      <c r="C58" s="22" t="s">
        <v>13</v>
      </c>
      <c r="D58" s="23" t="s">
        <v>14</v>
      </c>
      <c r="E58" s="41" t="s">
        <v>15</v>
      </c>
      <c r="F58" s="42"/>
      <c r="H58" s="43"/>
    </row>
    <row r="59" spans="2:7" ht="12.75">
      <c r="B59" s="54" t="s">
        <v>52</v>
      </c>
      <c r="C59" s="27"/>
      <c r="D59" s="28" t="str">
        <f>$D$5</f>
        <v>l</v>
      </c>
      <c r="E59" s="49"/>
      <c r="F59" s="46" t="str">
        <f t="shared" si="0"/>
        <v>+/-l</v>
      </c>
      <c r="G59" s="8">
        <f>IF(OR(D59="l",D59="gal",D59="qt"),"","unit must be l, qt or gal")</f>
      </c>
    </row>
    <row r="60" spans="2:8" ht="12.75">
      <c r="B60" s="44" t="s">
        <v>53</v>
      </c>
      <c r="C60" s="27"/>
      <c r="D60" s="28" t="str">
        <f>$D$6</f>
        <v>Plato</v>
      </c>
      <c r="E60" s="49"/>
      <c r="F60" s="46" t="str">
        <f t="shared" si="0"/>
        <v>+/-Plato</v>
      </c>
      <c r="G60" s="50">
        <f>IF(OR(D60="Plato",D60="SG"),"","unit must be Plato or SG")</f>
      </c>
      <c r="H60" s="47"/>
    </row>
    <row r="61" spans="2:16" ht="12.75">
      <c r="B61" s="51" t="s">
        <v>54</v>
      </c>
      <c r="C61" s="52" t="e">
        <f>'detailed calculations'!B62</f>
        <v>#DIV/0!</v>
      </c>
      <c r="D61" s="19" t="s">
        <v>5</v>
      </c>
      <c r="E61" s="53">
        <f>'detailed calculations'!I62</f>
        <v>0</v>
      </c>
      <c r="F61" s="38" t="str">
        <f t="shared" si="0"/>
        <v>+/-%</v>
      </c>
      <c r="H61" s="47"/>
      <c r="O61" s="33">
        <f>IF(AND(C60&lt;2,D60="SG"),"enter SG values without the dot as 10xx and not as 1.0xx","")</f>
      </c>
      <c r="P61" s="50"/>
    </row>
    <row r="62" spans="2:9" ht="12.75">
      <c r="B62" s="47"/>
      <c r="C62" s="47"/>
      <c r="D62" s="47"/>
      <c r="E62" s="58"/>
      <c r="F62" s="39"/>
      <c r="G62" s="47"/>
      <c r="H62" s="47"/>
      <c r="I62" s="47"/>
    </row>
    <row r="63" spans="2:16" ht="12.75">
      <c r="B63" s="59" t="s">
        <v>55</v>
      </c>
      <c r="C63" s="22" t="s">
        <v>13</v>
      </c>
      <c r="D63" s="23" t="s">
        <v>14</v>
      </c>
      <c r="E63" s="41" t="s">
        <v>15</v>
      </c>
      <c r="F63" s="42"/>
      <c r="G63" s="8"/>
      <c r="H63" s="32"/>
      <c r="I63" s="32"/>
      <c r="J63" s="32"/>
      <c r="O63" s="8"/>
      <c r="P63" s="8"/>
    </row>
    <row r="64" spans="2:16" ht="12.75">
      <c r="B64" s="26" t="s">
        <v>56</v>
      </c>
      <c r="C64" s="27"/>
      <c r="D64" s="28" t="str">
        <f>D5</f>
        <v>l</v>
      </c>
      <c r="E64" s="45"/>
      <c r="F64" s="30" t="str">
        <f t="shared" si="0"/>
        <v>+/-l</v>
      </c>
      <c r="G64" s="8">
        <f>IF(OR(D64="l",D64="gal",D64="qt"),"","unit must be l, qt or gal")</f>
      </c>
      <c r="H64" s="32"/>
      <c r="I64" s="32"/>
      <c r="J64" s="32"/>
      <c r="O64" s="8"/>
      <c r="P64" s="8"/>
    </row>
    <row r="65" spans="2:16" ht="12.75">
      <c r="B65" s="26" t="s">
        <v>57</v>
      </c>
      <c r="C65" s="60" t="str">
        <f>IF(C64="","n/a",IF(D64="l",'detailed calculations'!B69,'detailed calculations'!B70))</f>
        <v>n/a</v>
      </c>
      <c r="D65" s="15" t="str">
        <f>IF(D64="l",'detailed calculations'!C69,'detailed calculations'!C70)</f>
        <v>l/kg</v>
      </c>
      <c r="E65" s="61" t="str">
        <f>IF(C64="","n/a",IF(D64="l",'detailed calculations'!I69,'detailed calculations'!I70))</f>
        <v>n/a</v>
      </c>
      <c r="F65" s="30" t="str">
        <f t="shared" si="0"/>
        <v>+/-l/kg</v>
      </c>
      <c r="G65" s="8"/>
      <c r="H65" s="32"/>
      <c r="I65" s="32"/>
      <c r="J65" s="32"/>
      <c r="O65" s="8"/>
      <c r="P65" s="8"/>
    </row>
    <row r="66" spans="2:16" ht="12.75">
      <c r="B66" s="34" t="s">
        <v>58</v>
      </c>
      <c r="C66" s="62" t="str">
        <f>IF(C64="","n/a",IF(D64="l",'detailed calculations'!B71,'detailed calculations'!B72))</f>
        <v>n/a</v>
      </c>
      <c r="D66" s="19" t="str">
        <f>IF(D64="l",'detailed calculations'!C71,'detailed calculations'!C72)</f>
        <v>l/kg</v>
      </c>
      <c r="E66" s="63" t="str">
        <f>IF(C64="","n/a",IF(D64="l",'detailed calculations'!I71,'detailed calculations'!I72))</f>
        <v>n/a</v>
      </c>
      <c r="F66" s="38" t="str">
        <f t="shared" si="0"/>
        <v>+/-l/kg</v>
      </c>
      <c r="G66" s="8"/>
      <c r="H66" s="32"/>
      <c r="I66" s="32"/>
      <c r="J66" s="32"/>
      <c r="O66" s="8"/>
      <c r="P66" s="8"/>
    </row>
    <row r="67" spans="4:16" ht="12.75">
      <c r="D67" s="32"/>
      <c r="E67" s="64"/>
      <c r="F67" s="39"/>
      <c r="H67" s="32"/>
      <c r="I67" s="32"/>
      <c r="J67" s="32"/>
      <c r="O67" s="8"/>
      <c r="P67" s="8"/>
    </row>
    <row r="68" spans="2:6" ht="12.75">
      <c r="B68" s="65" t="s">
        <v>59</v>
      </c>
      <c r="C68" s="66" t="e">
        <f>100-C32</f>
        <v>#DIV/0!</v>
      </c>
      <c r="D68" s="7" t="s">
        <v>5</v>
      </c>
      <c r="E68" s="67" t="e">
        <f>E32</f>
        <v>#DIV/0!</v>
      </c>
      <c r="F68" s="42" t="str">
        <f t="shared" si="0"/>
        <v>+/-%</v>
      </c>
    </row>
    <row r="69" spans="2:8" ht="38.25">
      <c r="B69" s="44" t="s">
        <v>60</v>
      </c>
      <c r="C69" s="55" t="e">
        <f>C45</f>
        <v>#DIV/0!</v>
      </c>
      <c r="D69" s="15" t="s">
        <v>5</v>
      </c>
      <c r="E69" s="56" t="e">
        <f>E45</f>
        <v>#DIV/0!</v>
      </c>
      <c r="F69" s="30" t="str">
        <f t="shared" si="0"/>
        <v>+/-%</v>
      </c>
      <c r="H69" s="47"/>
    </row>
    <row r="70" spans="2:8" ht="38.25">
      <c r="B70" s="44" t="s">
        <v>61</v>
      </c>
      <c r="C70" s="55" t="e">
        <f>C46</f>
        <v>#DIV/0!</v>
      </c>
      <c r="D70" s="15" t="s">
        <v>62</v>
      </c>
      <c r="E70" s="56" t="e">
        <f>E46</f>
        <v>#DIV/0!</v>
      </c>
      <c r="F70" s="30" t="str">
        <f t="shared" si="0"/>
        <v>+/-% </v>
      </c>
      <c r="H70" s="47"/>
    </row>
    <row r="71" spans="2:6" ht="25.5">
      <c r="B71" s="44" t="s">
        <v>63</v>
      </c>
      <c r="C71" s="55" t="e">
        <f>C38</f>
        <v>#DIV/0!</v>
      </c>
      <c r="D71" s="15" t="s">
        <v>62</v>
      </c>
      <c r="E71" s="56" t="e">
        <f>E38</f>
        <v>#DIV/0!</v>
      </c>
      <c r="F71" s="30" t="str">
        <f t="shared" si="0"/>
        <v>+/-% </v>
      </c>
    </row>
    <row r="72" spans="2:6" ht="25.5">
      <c r="B72" s="44" t="s">
        <v>64</v>
      </c>
      <c r="C72" s="55" t="e">
        <f>C71-C73</f>
        <v>#DIV/0!</v>
      </c>
      <c r="D72" s="15" t="s">
        <v>5</v>
      </c>
      <c r="E72" s="56" t="e">
        <f>SQRT(SUMSQ(E71,E73))</f>
        <v>#DIV/0!</v>
      </c>
      <c r="F72" s="30" t="str">
        <f t="shared" si="0"/>
        <v>+/-%</v>
      </c>
    </row>
    <row r="73" spans="2:6" ht="25.5">
      <c r="B73" s="44" t="s">
        <v>65</v>
      </c>
      <c r="C73" s="55" t="e">
        <f>C61</f>
        <v>#DIV/0!</v>
      </c>
      <c r="D73" s="15" t="s">
        <v>5</v>
      </c>
      <c r="E73" s="68"/>
      <c r="F73" s="30" t="str">
        <f t="shared" si="0"/>
        <v>+/-%</v>
      </c>
    </row>
    <row r="74" spans="2:6" ht="25.5">
      <c r="B74" s="51" t="s">
        <v>66</v>
      </c>
      <c r="C74" s="52" t="e">
        <f>SUM(C68,C69,C70,C72,C73)</f>
        <v>#DIV/0!</v>
      </c>
      <c r="D74" s="19" t="s">
        <v>5</v>
      </c>
      <c r="E74" s="53" t="e">
        <f>SQRT(SUMSQ(E68,E69,E70,E72,E73))</f>
        <v>#DIV/0!</v>
      </c>
      <c r="F74" s="38" t="str">
        <f t="shared" si="0"/>
        <v>+/-%</v>
      </c>
    </row>
    <row r="76" spans="3:4" ht="12.75">
      <c r="C76" s="27"/>
      <c r="D76" s="1" t="s">
        <v>67</v>
      </c>
    </row>
    <row r="77" spans="3:4" ht="12.75">
      <c r="C77" s="69"/>
      <c r="D77" s="1" t="s">
        <v>68</v>
      </c>
    </row>
    <row r="79" spans="2:7" ht="12.75">
      <c r="B79" s="2" t="s">
        <v>136</v>
      </c>
      <c r="C79" s="2"/>
      <c r="D79" s="2"/>
      <c r="E79" s="2"/>
      <c r="F79" s="2"/>
      <c r="G79" s="2"/>
    </row>
  </sheetData>
  <sheetProtection/>
  <printOptions headings="1"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B1">
      <selection activeCell="N7" sqref="N7"/>
    </sheetView>
  </sheetViews>
  <sheetFormatPr defaultColWidth="9.140625" defaultRowHeight="12.75"/>
  <cols>
    <col min="1" max="1" width="28.8515625" style="1" customWidth="1"/>
    <col min="3" max="3" width="4.7109375" style="1" customWidth="1"/>
    <col min="4" max="4" width="5.7109375" style="1" customWidth="1"/>
    <col min="5" max="6" width="6.140625" style="1" customWidth="1"/>
    <col min="7" max="7" width="5.140625" style="1" customWidth="1"/>
    <col min="9" max="9" width="7.7109375" style="0" customWidth="1"/>
    <col min="10" max="10" width="8.140625" style="0" customWidth="1"/>
    <col min="11" max="14" width="5.7109375" style="0" customWidth="1"/>
  </cols>
  <sheetData>
    <row r="1" spans="1:9" ht="12.75">
      <c r="A1" s="1" t="s">
        <v>69</v>
      </c>
      <c r="B1" s="1">
        <f>46.1</f>
        <v>46.1</v>
      </c>
      <c r="I1" t="s">
        <v>15</v>
      </c>
    </row>
    <row r="2" spans="1:10" ht="12.75">
      <c r="A2" s="16" t="s">
        <v>70</v>
      </c>
      <c r="B2" s="1">
        <v>1.56</v>
      </c>
      <c r="C2" s="16" t="s">
        <v>71</v>
      </c>
      <c r="I2">
        <v>0.1</v>
      </c>
      <c r="J2" t="str">
        <f>"+/-l/kg"</f>
        <v>+/-l/kg</v>
      </c>
    </row>
    <row r="4" spans="1:14" ht="12.75">
      <c r="A4" s="1" t="s">
        <v>72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I4">
        <v>1</v>
      </c>
      <c r="J4">
        <v>2</v>
      </c>
      <c r="K4">
        <v>3</v>
      </c>
      <c r="L4">
        <v>4</v>
      </c>
      <c r="M4">
        <v>5</v>
      </c>
      <c r="N4">
        <v>6</v>
      </c>
    </row>
    <row r="5" spans="1:15" ht="12.75">
      <c r="A5" s="1" t="s">
        <v>73</v>
      </c>
      <c r="B5" s="1">
        <f>IF(input!D10="lb",input!C10*0.45,input!C10)</f>
        <v>0</v>
      </c>
      <c r="C5" s="1">
        <f>IF(input!D13="lb",input!C13*0.45,input!C13)</f>
        <v>0</v>
      </c>
      <c r="D5" s="1">
        <f>IF(input!D16="lb",input!C16*0.45,input!C16)</f>
        <v>0</v>
      </c>
      <c r="E5" s="1">
        <f>IF(input!D19="lb",input!C19*0.45,input!C19)</f>
        <v>0</v>
      </c>
      <c r="F5" s="1">
        <f>IF(input!D22="lb",input!C22*0.45,input!C22)</f>
        <v>0</v>
      </c>
      <c r="G5" s="1">
        <f>IF(input!D25="lb",input!C25*0.45,input!C25)</f>
        <v>0</v>
      </c>
      <c r="H5" s="1" t="s">
        <v>3</v>
      </c>
      <c r="I5" s="1">
        <f>IF(input!D10="lb",input!E10*0.45,input!E10)</f>
        <v>0</v>
      </c>
      <c r="J5" s="1">
        <f>IF(input!D13="lb",input!E13*0.45,input!E13)</f>
        <v>0</v>
      </c>
      <c r="K5" s="1">
        <f>IF(input!D16="lb",input!E16*0.45,input!E16)</f>
        <v>0</v>
      </c>
      <c r="L5" s="1">
        <f>IF(input!D19="lb",input!E19*0.45,input!E19)</f>
        <v>0</v>
      </c>
      <c r="M5" s="1">
        <f>IF(input!D22="lb",input!E22*0.45,input!E22)</f>
        <v>0</v>
      </c>
      <c r="N5" s="1">
        <f>IF(input!D25="lb",input!E25*0.45,input!E25)</f>
        <v>0</v>
      </c>
      <c r="O5" t="str">
        <f>"+/-kg"</f>
        <v>+/-kg</v>
      </c>
    </row>
    <row r="6" spans="1:15" ht="12.75">
      <c r="A6" s="1" t="s">
        <v>74</v>
      </c>
      <c r="B6" s="1">
        <f>IF(input!D11="pppg",input!C11/B1,IF(input!D11="",0.8,input!C11/100))</f>
        <v>0.8</v>
      </c>
      <c r="C6" s="1">
        <f>IF(input!D14="pppg",input!C14/B1,IF(input!C14="",0.8,input!C14/100))</f>
        <v>0.8</v>
      </c>
      <c r="D6" s="1">
        <f>IF(input!D17="pppg",input!C17/B1,IF(input!C17="",0.8,input!C17/100))</f>
        <v>0.8</v>
      </c>
      <c r="E6" s="1">
        <f>IF(input!D20="pppg",input!C20/B1,IF(input!C20="",0.8,input!C20/100))</f>
        <v>0.8</v>
      </c>
      <c r="F6" s="1">
        <f>IF(input!D23="pppg",input!C23/B1,IF(input!C23="",0.8,input!C23/100))</f>
        <v>0.8</v>
      </c>
      <c r="G6" s="1">
        <f>IF(input!D26="pppg",input!C26/B1,IF(input!C26="",0.8,input!C26/100))</f>
        <v>0.8</v>
      </c>
      <c r="H6" s="1" t="s">
        <v>75</v>
      </c>
      <c r="I6" s="1">
        <f>IF(input!D11="pppg",input!E11/$B$1,input!E11/100)</f>
        <v>0</v>
      </c>
      <c r="J6" s="1">
        <f>IF(input!D14="pppg",input!E14/$B$1,input!E14/100)</f>
        <v>0</v>
      </c>
      <c r="K6" s="1">
        <f>IF(input!D17="pppg",input!E17/$B$1,input!E17/100)</f>
        <v>0</v>
      </c>
      <c r="L6" s="1">
        <f>IF(input!D20="pppg",input!E20/$B$1,input!E20/100)</f>
        <v>0</v>
      </c>
      <c r="M6" s="1">
        <f>IF(input!D23="pppg",input!E23/$B$1,input!E23/100)</f>
        <v>0</v>
      </c>
      <c r="N6" s="1">
        <f>IF(input!D26="pppg",input!E26/$B$1,input!E26/100)</f>
        <v>0</v>
      </c>
      <c r="O6" t="str">
        <f>"+/-%"</f>
        <v>+/-%</v>
      </c>
    </row>
    <row r="7" spans="1:15" ht="12.75">
      <c r="A7" s="16" t="s">
        <v>76</v>
      </c>
      <c r="B7" s="1">
        <f>100-input!C12</f>
        <v>96</v>
      </c>
      <c r="C7" s="1">
        <f>100-input!C15</f>
        <v>96</v>
      </c>
      <c r="D7" s="1">
        <f>100-input!C18</f>
        <v>96</v>
      </c>
      <c r="E7" s="1">
        <f>100-input!C21</f>
        <v>96</v>
      </c>
      <c r="F7" s="1">
        <f>100-input!C24</f>
        <v>96</v>
      </c>
      <c r="G7" s="1">
        <f>100-input!C27</f>
        <v>96</v>
      </c>
      <c r="H7" s="1" t="s">
        <v>5</v>
      </c>
      <c r="I7" s="1">
        <f>input!E12</f>
        <v>0</v>
      </c>
      <c r="J7" s="1">
        <f>input!E15</f>
        <v>0</v>
      </c>
      <c r="K7" s="1">
        <f>input!E18</f>
        <v>0</v>
      </c>
      <c r="L7" s="1">
        <f>input!E21</f>
        <v>0</v>
      </c>
      <c r="M7" s="1">
        <f>input!E24</f>
        <v>0</v>
      </c>
      <c r="N7" s="1">
        <f>input!E27</f>
        <v>0</v>
      </c>
      <c r="O7" t="str">
        <f>"+/-%"</f>
        <v>+/-%</v>
      </c>
    </row>
    <row r="8" spans="1:15" ht="12.75">
      <c r="A8" s="1" t="s">
        <v>77</v>
      </c>
      <c r="B8" s="1">
        <f aca="true" t="shared" si="0" ref="B8:G8">B6*B7/100</f>
        <v>0.7680000000000001</v>
      </c>
      <c r="C8" s="1">
        <f t="shared" si="0"/>
        <v>0.7680000000000001</v>
      </c>
      <c r="D8" s="1">
        <f t="shared" si="0"/>
        <v>0.7680000000000001</v>
      </c>
      <c r="E8" s="1">
        <f t="shared" si="0"/>
        <v>0.7680000000000001</v>
      </c>
      <c r="F8" s="1">
        <f t="shared" si="0"/>
        <v>0.7680000000000001</v>
      </c>
      <c r="G8" s="1">
        <f t="shared" si="0"/>
        <v>0.7680000000000001</v>
      </c>
      <c r="H8" s="1" t="s">
        <v>3</v>
      </c>
      <c r="I8" s="1">
        <f aca="true" t="shared" si="1" ref="I8:N8">B8*SQRT(SUMSQ(I6/B6,I7/B7))</f>
        <v>0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t="str">
        <f>"+/-%"</f>
        <v>+/-%</v>
      </c>
    </row>
    <row r="9" spans="1:15" ht="12.75">
      <c r="A9" s="1" t="s">
        <v>78</v>
      </c>
      <c r="B9" s="1">
        <f aca="true" t="shared" si="2" ref="B9:G9">B5*B8</f>
        <v>0</v>
      </c>
      <c r="C9" s="1">
        <f t="shared" si="2"/>
        <v>0</v>
      </c>
      <c r="D9" s="1">
        <f t="shared" si="2"/>
        <v>0</v>
      </c>
      <c r="E9" s="1">
        <f t="shared" si="2"/>
        <v>0</v>
      </c>
      <c r="F9" s="1">
        <f t="shared" si="2"/>
        <v>0</v>
      </c>
      <c r="G9" s="1">
        <f t="shared" si="2"/>
        <v>0</v>
      </c>
      <c r="H9" s="1" t="s">
        <v>3</v>
      </c>
      <c r="I9" s="70">
        <f aca="true" t="shared" si="3" ref="I9:N9">IF(B9=0,0,B9*SQRT(SUMSQ(I5/B5,I8/B8)))</f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0">
        <f t="shared" si="3"/>
        <v>0</v>
      </c>
      <c r="O9" t="str">
        <f>"+/-kg"</f>
        <v>+/-kg</v>
      </c>
    </row>
    <row r="10" spans="1:7" ht="12.75">
      <c r="A10" s="1" t="s">
        <v>79</v>
      </c>
      <c r="B10" s="1">
        <f aca="true" t="shared" si="4" ref="B10:G10">$B$1*B8</f>
        <v>35.40480000000001</v>
      </c>
      <c r="C10" s="1">
        <f t="shared" si="4"/>
        <v>35.40480000000001</v>
      </c>
      <c r="D10" s="1">
        <f t="shared" si="4"/>
        <v>35.40480000000001</v>
      </c>
      <c r="E10" s="1">
        <f t="shared" si="4"/>
        <v>35.40480000000001</v>
      </c>
      <c r="F10" s="1">
        <f t="shared" si="4"/>
        <v>35.40480000000001</v>
      </c>
      <c r="G10" s="1">
        <f t="shared" si="4"/>
        <v>35.40480000000001</v>
      </c>
    </row>
    <row r="12" spans="1:10" ht="12.75">
      <c r="A12" s="1" t="s">
        <v>80</v>
      </c>
      <c r="B12" s="1">
        <f>SUM(B5:G5)</f>
        <v>0</v>
      </c>
      <c r="C12" s="1" t="s">
        <v>3</v>
      </c>
      <c r="I12">
        <f>SQRT(SUMSQ(I5:N5))</f>
        <v>0</v>
      </c>
      <c r="J12" t="str">
        <f>"+/-kg"</f>
        <v>+/-kg</v>
      </c>
    </row>
    <row r="13" spans="1:10" ht="12.75">
      <c r="A13" s="1" t="s">
        <v>81</v>
      </c>
      <c r="B13" s="1">
        <f>SUM(B9:G9)</f>
        <v>0</v>
      </c>
      <c r="C13" s="1" t="s">
        <v>3</v>
      </c>
      <c r="I13">
        <f>SQRT(SUMSQ(I9:N9))</f>
        <v>0</v>
      </c>
      <c r="J13" t="str">
        <f>"+/-kg"</f>
        <v>+/-kg</v>
      </c>
    </row>
    <row r="16" spans="1:10" ht="12.75">
      <c r="A16" s="1" t="s">
        <v>82</v>
      </c>
      <c r="B16" s="1">
        <f>IF(input!D30="qt",input!C30*0.94,IF(input!D30="gal",input!C30*3.78,input!C30))</f>
        <v>0</v>
      </c>
      <c r="C16" s="1" t="s">
        <v>7</v>
      </c>
      <c r="I16" s="1">
        <f>IF(input!D30="qt",input!E30*0.94,IF(input!D30="gal",input!E30*3.78,input!E30))</f>
        <v>0</v>
      </c>
      <c r="J16" t="str">
        <f>"+/-l"</f>
        <v>+/-l</v>
      </c>
    </row>
    <row r="17" spans="1:10" ht="12.75">
      <c r="A17" s="1" t="s">
        <v>83</v>
      </c>
      <c r="B17" s="1">
        <f>IF(input!D31="SG",(-(((((((((463.37))))))))))+(668.72*(input!C31/1000))-(205.35*(input!C31/1000)*(input!C31/1000)),input!C31)</f>
        <v>0</v>
      </c>
      <c r="C17" s="1" t="s">
        <v>5</v>
      </c>
      <c r="I17" s="1">
        <f>IF(input!D31="SG",input!E31/4,input!E31)</f>
        <v>0</v>
      </c>
      <c r="J17" t="str">
        <f>"+/-%"</f>
        <v>+/-%</v>
      </c>
    </row>
    <row r="18" spans="1:10" ht="12.75">
      <c r="A18" s="1" t="s">
        <v>84</v>
      </c>
      <c r="B18" s="1" t="e">
        <f>100*B13/(B13+B16)</f>
        <v>#DIV/0!</v>
      </c>
      <c r="C18" s="1" t="s">
        <v>5</v>
      </c>
      <c r="I18" t="e">
        <f>B18*SQRT(SUMSQ(I13/B13+SQRT(SUMSQ(I13+I16))/(B13+B16)))</f>
        <v>#DIV/0!</v>
      </c>
      <c r="J18" t="str">
        <f>"+/-%"</f>
        <v>+/-%</v>
      </c>
    </row>
    <row r="19" spans="1:12" ht="12.75">
      <c r="A19" s="1" t="s">
        <v>37</v>
      </c>
      <c r="B19" s="1" t="e">
        <f>100*B17/B18*(100-B18)/(100-B17)</f>
        <v>#DIV/0!</v>
      </c>
      <c r="C19" s="1" t="s">
        <v>5</v>
      </c>
      <c r="I19" t="e">
        <f>B19*SQRT(SUMSQ(I17/B17,I18/B18))</f>
        <v>#DIV/0!</v>
      </c>
      <c r="J19" t="str">
        <f>"+/-%"</f>
        <v>+/-%</v>
      </c>
      <c r="L19" t="s">
        <v>137</v>
      </c>
    </row>
    <row r="20" spans="12:17" ht="12.75">
      <c r="L20">
        <f>input!I35</f>
        <v>5</v>
      </c>
      <c r="M20">
        <f>input!J35</f>
        <v>10</v>
      </c>
      <c r="N20">
        <f>input!K35</f>
        <v>15</v>
      </c>
      <c r="O20">
        <f>input!L35</f>
        <v>20</v>
      </c>
      <c r="P20">
        <f>input!M35</f>
        <v>25</v>
      </c>
      <c r="Q20" t="str">
        <f>input!N35</f>
        <v>%</v>
      </c>
    </row>
    <row r="21" spans="1:17" ht="12.75">
      <c r="A21" s="1" t="s">
        <v>39</v>
      </c>
      <c r="B21" s="1">
        <f>IF(input!D35="qt",input!C35*0.94,IF(input!D35="gal",input!C35*3.78,input!C35))</f>
        <v>0</v>
      </c>
      <c r="C21" s="1" t="s">
        <v>7</v>
      </c>
      <c r="I21" s="1">
        <f>IF(input!D35="qt",input!E35*0.94,IF(input!D35="gal",input!E35*3.78,input!E35))</f>
        <v>0</v>
      </c>
      <c r="J21" t="str">
        <f>"+/-l"</f>
        <v>+/-l</v>
      </c>
      <c r="L21">
        <f>$B$23*(1-L20/100)</f>
        <v>0</v>
      </c>
      <c r="M21">
        <f>$B$23*(1-M20/100)</f>
        <v>0</v>
      </c>
      <c r="N21">
        <f>$B$23*(1-N20/100)</f>
        <v>0</v>
      </c>
      <c r="O21">
        <f>$B$23*(1-O20/100)</f>
        <v>0</v>
      </c>
      <c r="P21">
        <f>$B$23*(1-P20/100)</f>
        <v>0</v>
      </c>
      <c r="Q21" t="s">
        <v>7</v>
      </c>
    </row>
    <row r="22" spans="1:17" ht="12.75">
      <c r="A22" s="1" t="s">
        <v>85</v>
      </c>
      <c r="B22" s="1">
        <f>IF(input!D36="F",(input!C36-32)/1.8,input!C36)</f>
        <v>0</v>
      </c>
      <c r="C22" s="1" t="s">
        <v>11</v>
      </c>
      <c r="I22" s="1">
        <f>IF(input!D36="F",input!E36/1.8,input!E36)</f>
        <v>0</v>
      </c>
      <c r="J22" t="str">
        <f>"+/-C"</f>
        <v>+/-C</v>
      </c>
      <c r="L22" t="e">
        <f>$B$24*$B$23/L21</f>
        <v>#DIV/0!</v>
      </c>
      <c r="M22" t="e">
        <f>$B$24*$B$23/M21</f>
        <v>#DIV/0!</v>
      </c>
      <c r="N22" t="e">
        <f>$B$24*$B$23/N21</f>
        <v>#DIV/0!</v>
      </c>
      <c r="O22" t="e">
        <f>$B$24*$B$23/O21</f>
        <v>#DIV/0!</v>
      </c>
      <c r="P22" t="e">
        <f>$B$24*$B$23/P21</f>
        <v>#DIV/0!</v>
      </c>
      <c r="Q22" t="s">
        <v>5</v>
      </c>
    </row>
    <row r="23" spans="1:17" ht="12.75">
      <c r="A23" s="1" t="s">
        <v>86</v>
      </c>
      <c r="B23" s="1">
        <f>B21/(1+(B22-20)*0.000475)</f>
        <v>0</v>
      </c>
      <c r="C23" s="1" t="s">
        <v>7</v>
      </c>
      <c r="D23" s="71" t="s">
        <v>87</v>
      </c>
      <c r="E23" s="71"/>
      <c r="F23" s="71"/>
      <c r="G23" s="71"/>
      <c r="I23">
        <f>IF(B21=0,0,B23*SQRT(SUMSQ(I21/B21,I22*0.000475/(1+(B22-20)*0.000475))))</f>
        <v>0</v>
      </c>
      <c r="J23" t="str">
        <f>"+/-l"</f>
        <v>+/-l</v>
      </c>
      <c r="L23" t="e">
        <f>1000*((L22/(258.6-((L22/258.2)*227.1)))+1)</f>
        <v>#DIV/0!</v>
      </c>
      <c r="M23" t="e">
        <f>1000*((M22/(258.6-((M22/258.2)*227.1)))+1)</f>
        <v>#DIV/0!</v>
      </c>
      <c r="N23" t="e">
        <f>1000*((N22/(258.6-((N22/258.2)*227.1)))+1)</f>
        <v>#DIV/0!</v>
      </c>
      <c r="O23" t="e">
        <f>1000*((O22/(258.6-((O22/258.2)*227.1)))+1)</f>
        <v>#DIV/0!</v>
      </c>
      <c r="P23" t="e">
        <f>1000*((P22/(258.6-((P22/258.2)*227.1)))+1)</f>
        <v>#DIV/0!</v>
      </c>
      <c r="Q23" t="s">
        <v>138</v>
      </c>
    </row>
    <row r="24" spans="1:10" ht="12.75">
      <c r="A24" s="1" t="s">
        <v>88</v>
      </c>
      <c r="B24" s="1">
        <f>IF(input!D37="SG",(-(((((((((463.37))))))))))+(668.72*(input!C37/1000))-(205.35*(input!C37/1000)*(input!C37/1000)),input!C37)</f>
        <v>0</v>
      </c>
      <c r="C24" s="1" t="s">
        <v>5</v>
      </c>
      <c r="I24" s="1">
        <f>IF(input!D37="SG",input!E37/4,input!E37)</f>
        <v>0</v>
      </c>
      <c r="J24" t="str">
        <f>"+/-%"</f>
        <v>+/-%</v>
      </c>
    </row>
    <row r="25" spans="1:10" ht="12.75">
      <c r="A25" s="1" t="s">
        <v>89</v>
      </c>
      <c r="B25" s="1">
        <f>1+B24/250</f>
        <v>1</v>
      </c>
      <c r="C25" s="1" t="s">
        <v>90</v>
      </c>
      <c r="I25">
        <f>I24/250</f>
        <v>0</v>
      </c>
      <c r="J25" t="str">
        <f>"+/- kg/l"</f>
        <v>+/- kg/l</v>
      </c>
    </row>
    <row r="26" spans="1:10" ht="12.75">
      <c r="A26" s="1" t="s">
        <v>91</v>
      </c>
      <c r="B26" s="1">
        <f>B23*B25*B24/100</f>
        <v>0</v>
      </c>
      <c r="C26" s="1" t="s">
        <v>3</v>
      </c>
      <c r="I26" t="e">
        <f>B26*SQRT(SUMSQ(I23/B23,I24/B24,I25/B25))</f>
        <v>#DIV/0!</v>
      </c>
      <c r="J26" t="str">
        <f>"+/-kg"</f>
        <v>+/-kg</v>
      </c>
    </row>
    <row r="27" spans="1:10" ht="12.75">
      <c r="A27" s="1" t="s">
        <v>42</v>
      </c>
      <c r="B27" s="1" t="e">
        <f>B26/B13*100</f>
        <v>#DIV/0!</v>
      </c>
      <c r="I27" t="e">
        <f>B27*SQRT(SUMSQ(I26/B26,I13/B13))</f>
        <v>#DIV/0!</v>
      </c>
      <c r="J27" t="str">
        <f>"+/-%"</f>
        <v>+/-%</v>
      </c>
    </row>
    <row r="29" spans="1:10" ht="12.75">
      <c r="A29" s="1" t="s">
        <v>139</v>
      </c>
      <c r="B29">
        <f>IF(input!D50="qt",input!C50*0.94,IF(input!D50="gal",input!C50*3.78,input!C50))</f>
        <v>0</v>
      </c>
      <c r="C29" s="1" t="s">
        <v>7</v>
      </c>
      <c r="I29" s="1">
        <f>IF(input!D50="qt",input!E50*0.94,IF(input!D50="gal",input!E50*3.78,input!E50))</f>
        <v>1</v>
      </c>
      <c r="J29" t="str">
        <f>"+/-l"</f>
        <v>+/-l</v>
      </c>
    </row>
    <row r="30" spans="1:10" ht="12.75">
      <c r="A30" s="1" t="s">
        <v>85</v>
      </c>
      <c r="B30" s="1">
        <f>IF(input!D51="F",(input!C51-32)/1.8,input!C51)</f>
        <v>0</v>
      </c>
      <c r="C30" s="1" t="s">
        <v>11</v>
      </c>
      <c r="I30" s="1">
        <f>IF(input!D51="F",input!E51/1.8,input!E51)</f>
        <v>1</v>
      </c>
      <c r="J30" t="str">
        <f>"+/-C"</f>
        <v>+/-C</v>
      </c>
    </row>
    <row r="31" spans="1:10" ht="12.75">
      <c r="A31" s="1" t="s">
        <v>140</v>
      </c>
      <c r="B31">
        <f>input!C52</f>
        <v>0</v>
      </c>
      <c r="C31" s="16" t="s">
        <v>131</v>
      </c>
      <c r="I31">
        <f>input!E52</f>
        <v>1</v>
      </c>
      <c r="J31" t="str">
        <f>"+/- min"</f>
        <v>+/- min</v>
      </c>
    </row>
    <row r="32" spans="1:10" ht="12.75">
      <c r="A32" s="1" t="s">
        <v>86</v>
      </c>
      <c r="B32" s="1">
        <f>B29/(1+(B30-20)*0.000475)</f>
        <v>0</v>
      </c>
      <c r="C32" s="1" t="s">
        <v>7</v>
      </c>
      <c r="I32">
        <f>IF(B29=0,0,B32*SQRT(SUMSQ(I29/B29,I30*0.000475/(1+(B30-20)*0.000475))))</f>
        <v>0</v>
      </c>
      <c r="J32" t="str">
        <f>"+/-l"</f>
        <v>+/-l</v>
      </c>
    </row>
    <row r="33" spans="1:10" ht="12.75">
      <c r="A33" s="16" t="s">
        <v>88</v>
      </c>
      <c r="B33" s="1">
        <f>IF(input!D53="SG",(-(((((((((463.37))))))))))+(668.72*(input!C53/1000))-(205.35*(input!C53/1000)*(input!C53/1000)),input!C53)</f>
        <v>0</v>
      </c>
      <c r="C33" s="16" t="s">
        <v>5</v>
      </c>
      <c r="I33" s="1">
        <f>IF(input!D53="SG",input!E53/4,input!E53)</f>
        <v>1</v>
      </c>
      <c r="J33" t="str">
        <f>"+/-%"</f>
        <v>+/-%</v>
      </c>
    </row>
    <row r="34" spans="1:10" ht="12.75">
      <c r="A34" s="16" t="s">
        <v>141</v>
      </c>
      <c r="B34" s="1">
        <f>1+B33/250</f>
        <v>1</v>
      </c>
      <c r="C34" s="16" t="s">
        <v>3</v>
      </c>
      <c r="I34">
        <f>I33/250</f>
        <v>0.004</v>
      </c>
      <c r="J34" t="str">
        <f>"+/- kg/l"</f>
        <v>+/- kg/l</v>
      </c>
    </row>
    <row r="35" spans="1:10" ht="12.75">
      <c r="A35" s="16" t="s">
        <v>91</v>
      </c>
      <c r="B35" s="1">
        <f>B32*B34*B33/100</f>
        <v>0</v>
      </c>
      <c r="C35" s="16" t="s">
        <v>3</v>
      </c>
      <c r="I35" t="e">
        <f>B35*SQRT(SUMSQ(I32/B32,I33/B33,I34/B34))</f>
        <v>#DIV/0!</v>
      </c>
      <c r="J35" t="str">
        <f>"+/-kg"</f>
        <v>+/-kg</v>
      </c>
    </row>
    <row r="36" spans="1:10" ht="12.75">
      <c r="A36" s="16" t="s">
        <v>127</v>
      </c>
      <c r="B36" s="1" t="e">
        <f>B35/B13*100</f>
        <v>#DIV/0!</v>
      </c>
      <c r="C36" s="16" t="s">
        <v>5</v>
      </c>
      <c r="I36" t="e">
        <f>B36*SQRT(SUMSQ(I35/B35,I13/B13))</f>
        <v>#DIV/0!</v>
      </c>
      <c r="J36" t="str">
        <f>"+/-%"</f>
        <v>+/-%</v>
      </c>
    </row>
    <row r="37" spans="1:10" ht="12.75">
      <c r="A37" s="16" t="s">
        <v>142</v>
      </c>
      <c r="B37" s="1">
        <f>B23-B32</f>
        <v>0</v>
      </c>
      <c r="C37" s="16" t="s">
        <v>7</v>
      </c>
      <c r="I37">
        <f>SQRT(SUMSQ(I23,I32))</f>
        <v>0</v>
      </c>
      <c r="J37" t="str">
        <f>"+/-l"</f>
        <v>+/-l</v>
      </c>
    </row>
    <row r="38" spans="1:10" ht="12.75">
      <c r="A38" s="16" t="s">
        <v>128</v>
      </c>
      <c r="B38" t="e">
        <f>100*B37/B23</f>
        <v>#DIV/0!</v>
      </c>
      <c r="C38" s="16" t="s">
        <v>5</v>
      </c>
      <c r="I38" t="e">
        <f>B38*SQRT(SUMSQ(I37/B37,I23/B23))</f>
        <v>#DIV/0!</v>
      </c>
      <c r="J38" t="str">
        <f>"+/- %"</f>
        <v>+/- %</v>
      </c>
    </row>
    <row r="39" spans="1:10" ht="12.75">
      <c r="A39" s="16" t="s">
        <v>129</v>
      </c>
      <c r="B39" t="e">
        <f>60*B38/B31</f>
        <v>#DIV/0!</v>
      </c>
      <c r="C39" s="16" t="s">
        <v>143</v>
      </c>
      <c r="I39" t="e">
        <f>B39*SQRT(SUMSQ(I38/B38,I31/B31))</f>
        <v>#DIV/0!</v>
      </c>
      <c r="J39" t="str">
        <f>"+/- %/hr"</f>
        <v>+/- %/hr</v>
      </c>
    </row>
    <row r="41" spans="1:10" ht="12.75">
      <c r="A41" s="1" t="s">
        <v>92</v>
      </c>
      <c r="B41" s="1">
        <f>IF(input!D41="qt",input!C41*0.94,IF(input!D41="gal",input!C41*3.78,input!C41))</f>
        <v>0</v>
      </c>
      <c r="C41" s="1" t="s">
        <v>7</v>
      </c>
      <c r="I41" s="1">
        <f>IF(input!D41="qt",input!E41*0.94,IF(input!D41="gal",input!E41*3.78,input!E41))</f>
        <v>0</v>
      </c>
      <c r="J41" t="str">
        <f>"+/-l"</f>
        <v>+/-l</v>
      </c>
    </row>
    <row r="42" spans="1:10" ht="12.75">
      <c r="A42" s="1" t="s">
        <v>85</v>
      </c>
      <c r="B42" s="1">
        <v>40</v>
      </c>
      <c r="C42" s="1" t="s">
        <v>11</v>
      </c>
      <c r="I42">
        <v>10</v>
      </c>
      <c r="J42" t="str">
        <f>"+/-C"</f>
        <v>+/-C</v>
      </c>
    </row>
    <row r="43" spans="1:10" ht="12.75">
      <c r="A43" s="1" t="s">
        <v>86</v>
      </c>
      <c r="B43" s="1">
        <f>B41/(1+(B42-20)*0.000475)</f>
        <v>0</v>
      </c>
      <c r="C43" s="1" t="s">
        <v>7</v>
      </c>
      <c r="I43">
        <f>IF(B41=0,0,B43*SQRT(SUMSQ(I41/B41,I42*0.000475/(1+(B42-20)*0.000475))))</f>
        <v>0</v>
      </c>
      <c r="J43" t="str">
        <f>"+/-l"</f>
        <v>+/-l</v>
      </c>
    </row>
    <row r="44" spans="1:10" ht="12.75">
      <c r="A44" s="1" t="s">
        <v>88</v>
      </c>
      <c r="B44" s="1">
        <f>IF(input!D42="SG",(-(((((((((463.37))))))))))+(668.72*(input!C42/1000))-(205.35*(input!C42/1000)*(input!C42/1000)),input!C42)</f>
        <v>0</v>
      </c>
      <c r="C44" s="1" t="s">
        <v>5</v>
      </c>
      <c r="I44" s="1">
        <f>IF(input!D42="SG",input!E42/4,input!E42)</f>
        <v>0</v>
      </c>
      <c r="J44" t="str">
        <f>"+/-%"</f>
        <v>+/-%</v>
      </c>
    </row>
    <row r="45" spans="1:10" ht="12.75">
      <c r="A45" s="1" t="s">
        <v>89</v>
      </c>
      <c r="B45" s="1">
        <f>1+B44/250</f>
        <v>1</v>
      </c>
      <c r="I45">
        <f>I44/250</f>
        <v>0</v>
      </c>
      <c r="J45" t="str">
        <f>"+/- kg/l"</f>
        <v>+/- kg/l</v>
      </c>
    </row>
    <row r="46" spans="1:10" ht="12.75">
      <c r="A46" s="1" t="s">
        <v>93</v>
      </c>
      <c r="B46" s="1">
        <f>B43*B45*B44/100</f>
        <v>0</v>
      </c>
      <c r="C46" s="1" t="s">
        <v>3</v>
      </c>
      <c r="I46" t="e">
        <f>B46*SQRT(SUMSQ(I43/B43,I44/B44,I45/B45))</f>
        <v>#DIV/0!</v>
      </c>
      <c r="J46" t="str">
        <f>"+/-kg"</f>
        <v>+/-kg</v>
      </c>
    </row>
    <row r="47" spans="1:10" ht="12.75">
      <c r="A47" s="1" t="s">
        <v>94</v>
      </c>
      <c r="B47" s="1" t="e">
        <f>B46/B13*100</f>
        <v>#DIV/0!</v>
      </c>
      <c r="I47" t="e">
        <f>B47*SQRT(SUMSQ(I13/B13,I46/B46))</f>
        <v>#DIV/0!</v>
      </c>
      <c r="J47" t="str">
        <f>"+/-%"</f>
        <v>+/-%</v>
      </c>
    </row>
    <row r="49" spans="1:10" ht="12.75">
      <c r="A49" s="1" t="s">
        <v>95</v>
      </c>
      <c r="B49" s="1">
        <f>IF(B64&lt;&gt;0,B71,B2)</f>
        <v>1.56</v>
      </c>
      <c r="C49" s="1" t="s">
        <v>71</v>
      </c>
      <c r="I49" s="1">
        <f>IF(B64&lt;&gt;0,I71,I2)</f>
        <v>0.1</v>
      </c>
      <c r="J49" t="str">
        <f>"+/-l/kg"</f>
        <v>+/-l/kg</v>
      </c>
    </row>
    <row r="50" spans="1:10" ht="12.75">
      <c r="A50" s="1" t="s">
        <v>96</v>
      </c>
      <c r="B50" s="1">
        <f>B49*B12</f>
        <v>0</v>
      </c>
      <c r="C50" s="1" t="s">
        <v>7</v>
      </c>
      <c r="I50">
        <f>B50*SQRT(SUMSQ(I49,I12))</f>
        <v>0</v>
      </c>
      <c r="J50" t="str">
        <f>"+/-l"</f>
        <v>+/-l</v>
      </c>
    </row>
    <row r="51" spans="1:10" ht="12.75">
      <c r="A51" s="1" t="s">
        <v>97</v>
      </c>
      <c r="B51" s="1">
        <f>IF(input!D43="qt",input!C43*0.94,IF(input!D43="gal",input!C43*3.78,input!C43))</f>
        <v>0</v>
      </c>
      <c r="C51" s="1" t="s">
        <v>7</v>
      </c>
      <c r="I51" s="1">
        <f>IF(input!D43="qt",input!E43*0.94,IF(input!D43="gal",input!E43*3.78,input!E43))</f>
        <v>0</v>
      </c>
      <c r="J51" t="str">
        <f>"+/-l"</f>
        <v>+/-l</v>
      </c>
    </row>
    <row r="52" spans="1:10" ht="12.75">
      <c r="A52" s="1" t="s">
        <v>98</v>
      </c>
      <c r="B52" s="1">
        <f>B50+B51</f>
        <v>0</v>
      </c>
      <c r="C52" s="1" t="s">
        <v>7</v>
      </c>
      <c r="I52">
        <f>SQRT(SUMSQ(I50:I51))</f>
        <v>0</v>
      </c>
      <c r="J52" t="str">
        <f>"+/-l"</f>
        <v>+/-l</v>
      </c>
    </row>
    <row r="53" spans="1:10" ht="12.75">
      <c r="A53" s="1" t="s">
        <v>99</v>
      </c>
      <c r="B53" s="1">
        <f>IF(input!D44="SG",(-(((((((((463.37))))))))))+(668.72*(input!C44/1000))-(205.35*(input!C44/1000)*(input!C44/1000)),input!C44)</f>
        <v>0</v>
      </c>
      <c r="C53" s="1" t="s">
        <v>5</v>
      </c>
      <c r="I53" s="1">
        <f>IF(input!D44="SG",input!E44/4,input!E44)</f>
        <v>0</v>
      </c>
      <c r="J53" t="str">
        <f>"+/-%"</f>
        <v>+/-%</v>
      </c>
    </row>
    <row r="54" spans="1:10" ht="12.75">
      <c r="A54" s="1" t="s">
        <v>89</v>
      </c>
      <c r="B54" s="1">
        <f>1+B53/250</f>
        <v>1</v>
      </c>
      <c r="C54" s="1" t="s">
        <v>90</v>
      </c>
      <c r="I54">
        <f>I53/250</f>
        <v>0</v>
      </c>
      <c r="J54" t="str">
        <f>"+/- kg/l"</f>
        <v>+/- kg/l</v>
      </c>
    </row>
    <row r="55" spans="1:10" ht="12.75">
      <c r="A55" s="1" t="s">
        <v>100</v>
      </c>
      <c r="B55" s="1">
        <f>B52*B54*B53/100</f>
        <v>0</v>
      </c>
      <c r="C55" s="1" t="s">
        <v>3</v>
      </c>
      <c r="I55" t="e">
        <f>B55*SQRT(SUMSQ(I52/B52,I53/B53,I54/B54))</f>
        <v>#DIV/0!</v>
      </c>
      <c r="J55" t="str">
        <f>"+/-kg"</f>
        <v>+/-kg</v>
      </c>
    </row>
    <row r="56" spans="1:10" ht="12.75">
      <c r="A56" s="1" t="s">
        <v>101</v>
      </c>
      <c r="B56" s="1" t="e">
        <f>B55/B13*100</f>
        <v>#DIV/0!</v>
      </c>
      <c r="C56" s="1" t="s">
        <v>5</v>
      </c>
      <c r="I56" t="e">
        <f>B56*SQRT(SUMSQ(I13/B13,I55/B55))</f>
        <v>#DIV/0!</v>
      </c>
      <c r="J56" t="str">
        <f>"+/-%"</f>
        <v>+/-%</v>
      </c>
    </row>
    <row r="58" spans="1:10" ht="12.75">
      <c r="A58" s="16" t="s">
        <v>102</v>
      </c>
      <c r="B58" s="1">
        <f>IF(input!D59="qt",input!C59*0.94,IF(input!D59="gal",input!C59*3.78,input!C59))</f>
        <v>0</v>
      </c>
      <c r="C58" s="1" t="s">
        <v>7</v>
      </c>
      <c r="I58" s="1">
        <f>IF(input!D59="qt",input!E59*0.94,IF(input!D59="gal",input!E59*3.78,input!E59))</f>
        <v>0</v>
      </c>
      <c r="J58" t="str">
        <f>"+/-l"</f>
        <v>+/-l</v>
      </c>
    </row>
    <row r="59" spans="1:10" ht="12.75">
      <c r="A59" s="1" t="s">
        <v>88</v>
      </c>
      <c r="B59" s="1">
        <f>IF(input!D60="SG",(-((((((((463.37)))))))))+(668.72*(input!C60/1000))-(205.35*(input!C60/1000)*(input!C60/1000)),input!C60)</f>
        <v>0</v>
      </c>
      <c r="C59" s="1" t="s">
        <v>5</v>
      </c>
      <c r="I59" s="1">
        <f>IF(input!K60="SG",input!J60/4,input!J60)</f>
        <v>0</v>
      </c>
      <c r="J59" t="str">
        <f>"+/-%"</f>
        <v>+/-%</v>
      </c>
    </row>
    <row r="60" spans="1:10" ht="12.75">
      <c r="A60" s="1" t="s">
        <v>89</v>
      </c>
      <c r="B60" s="1">
        <f>1+B59/250</f>
        <v>1</v>
      </c>
      <c r="C60" s="1" t="s">
        <v>90</v>
      </c>
      <c r="I60">
        <f>I59/250</f>
        <v>0</v>
      </c>
      <c r="J60" t="str">
        <f>"+/- kg/l"</f>
        <v>+/- kg/l</v>
      </c>
    </row>
    <row r="61" spans="1:10" ht="12.75">
      <c r="A61" s="16" t="s">
        <v>103</v>
      </c>
      <c r="B61" s="1">
        <f>B58*B60*B59/100</f>
        <v>0</v>
      </c>
      <c r="C61" s="1" t="s">
        <v>3</v>
      </c>
      <c r="I61">
        <f>IF(B58=0,0,B61*SQRT(SUMSQ(I58/B58,I59/B59,I60/B60)))</f>
        <v>0</v>
      </c>
      <c r="J61" t="str">
        <f>"+/-kg"</f>
        <v>+/-kg</v>
      </c>
    </row>
    <row r="62" spans="1:10" ht="12.75">
      <c r="A62" s="16" t="s">
        <v>54</v>
      </c>
      <c r="B62" s="1" t="e">
        <f>B61/B13*100</f>
        <v>#DIV/0!</v>
      </c>
      <c r="C62" s="1" t="s">
        <v>5</v>
      </c>
      <c r="I62">
        <f>IF(B61=0,0,B62*SQRT(SUMSQ(I61/B61,I13/B13)))</f>
        <v>0</v>
      </c>
      <c r="J62" t="str">
        <f>"+/-%"</f>
        <v>+/-%</v>
      </c>
    </row>
    <row r="64" spans="1:10" ht="12.75">
      <c r="A64" s="1" t="s">
        <v>104</v>
      </c>
      <c r="B64" s="1">
        <f>IF(input!D64="qt",input!C64*0.94,IF(input!D64="gal",input!C64*3.78,input!C64))</f>
        <v>0</v>
      </c>
      <c r="C64" s="16" t="s">
        <v>7</v>
      </c>
      <c r="I64" s="1">
        <f>IF(input!D64="qt",input!E64*0.94,IF(input!D64="gal",input!E64*3.78,input!E64))</f>
        <v>0</v>
      </c>
      <c r="J64" t="str">
        <f>"+/-l"</f>
        <v>+/-l</v>
      </c>
    </row>
    <row r="65" spans="1:10" ht="12.75">
      <c r="A65" s="1" t="s">
        <v>105</v>
      </c>
      <c r="B65" t="e">
        <f>B13*B19/100</f>
        <v>#DIV/0!</v>
      </c>
      <c r="C65" s="16" t="s">
        <v>3</v>
      </c>
      <c r="I65" t="e">
        <f>B65*SQRT(SUMSQ(I13/B13,I19/B19))</f>
        <v>#DIV/0!</v>
      </c>
      <c r="J65" t="str">
        <f>"+/-kg"</f>
        <v>+/-kg</v>
      </c>
    </row>
    <row r="66" spans="1:10" ht="12.75">
      <c r="A66" s="1" t="s">
        <v>106</v>
      </c>
      <c r="B66" t="e">
        <f>0.63*B65</f>
        <v>#DIV/0!</v>
      </c>
      <c r="C66" s="16" t="s">
        <v>7</v>
      </c>
      <c r="D66" s="16" t="s">
        <v>107</v>
      </c>
      <c r="I66" t="e">
        <f>B66*I65/B65</f>
        <v>#DIV/0!</v>
      </c>
      <c r="J66" t="str">
        <f>"+/-l"</f>
        <v>+/-l</v>
      </c>
    </row>
    <row r="68" spans="1:10" ht="12.75">
      <c r="A68" s="16" t="s">
        <v>108</v>
      </c>
      <c r="B68">
        <f>B23+B43</f>
        <v>0</v>
      </c>
      <c r="C68" s="16" t="s">
        <v>7</v>
      </c>
      <c r="I68">
        <f>SQRT(SUMSQ(I21,I41))</f>
        <v>0</v>
      </c>
      <c r="J68" t="str">
        <f>"+/-l"</f>
        <v>+/-l</v>
      </c>
    </row>
    <row r="69" spans="1:10" ht="12.75">
      <c r="A69" s="16" t="s">
        <v>57</v>
      </c>
      <c r="B69" t="e">
        <f>(B64-B68)/B12</f>
        <v>#DIV/0!</v>
      </c>
      <c r="C69" s="16" t="s">
        <v>71</v>
      </c>
      <c r="I69" t="e">
        <f>B69*SQRT(SUMSQ(I12/B12,SQRT(SUMSQ(I64,I68))/(B64-B68)))</f>
        <v>#DIV/0!</v>
      </c>
      <c r="J69" t="str">
        <f>"+/-l/kg"</f>
        <v>+/-l/kg</v>
      </c>
    </row>
    <row r="70" spans="2:10" ht="12.75">
      <c r="B70" t="e">
        <f>0.12*B69</f>
        <v>#DIV/0!</v>
      </c>
      <c r="C70" s="16" t="s">
        <v>109</v>
      </c>
      <c r="I70" t="e">
        <f>0.12*I69</f>
        <v>#DIV/0!</v>
      </c>
      <c r="J70" t="str">
        <f>"+/-gal/lb"</f>
        <v>+/-gal/lb</v>
      </c>
    </row>
    <row r="71" spans="1:10" ht="12.75">
      <c r="A71" s="1" t="s">
        <v>58</v>
      </c>
      <c r="B71" t="e">
        <f>(B64+B66-B68)/B12</f>
        <v>#DIV/0!</v>
      </c>
      <c r="C71" s="16" t="s">
        <v>71</v>
      </c>
      <c r="I71" t="e">
        <f>B71*SQRT(SUMSQ(I12/B12,SQRT(SUMSQ(I64,I66,I68))/(B64+B66-B68)))</f>
        <v>#DIV/0!</v>
      </c>
      <c r="J71" t="str">
        <f>"+/-l/kg"</f>
        <v>+/-l/kg</v>
      </c>
    </row>
    <row r="72" spans="2:10" ht="12.75">
      <c r="B72" t="e">
        <f>0.12*B71</f>
        <v>#DIV/0!</v>
      </c>
      <c r="C72" s="16" t="s">
        <v>109</v>
      </c>
      <c r="I72" t="e">
        <f>0.12*I71</f>
        <v>#DIV/0!</v>
      </c>
      <c r="J72" t="str">
        <f>"+/-gal/lb"</f>
        <v>+/-gal/lb</v>
      </c>
    </row>
  </sheetData>
  <sheetProtection/>
  <printOptions headings="1"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B13" sqref="B13"/>
    </sheetView>
  </sheetViews>
  <sheetFormatPr defaultColWidth="11.57421875" defaultRowHeight="12.75"/>
  <cols>
    <col min="1" max="2" width="11.57421875" style="1" customWidth="1"/>
    <col min="3" max="3" width="57.8515625" style="1" customWidth="1"/>
    <col min="4" max="16384" width="11.57421875" style="1" customWidth="1"/>
  </cols>
  <sheetData>
    <row r="1" spans="1:3" ht="12.75">
      <c r="A1" s="1" t="s">
        <v>110</v>
      </c>
      <c r="C1" s="1" t="s">
        <v>111</v>
      </c>
    </row>
    <row r="2" spans="1:3" ht="12.75">
      <c r="A2" s="1" t="s">
        <v>112</v>
      </c>
      <c r="C2" s="1" t="s">
        <v>113</v>
      </c>
    </row>
    <row r="3" spans="1:3" ht="12.75">
      <c r="A3" s="1" t="s">
        <v>114</v>
      </c>
      <c r="C3" s="1" t="s">
        <v>115</v>
      </c>
    </row>
    <row r="4" spans="1:3" ht="12.75">
      <c r="A4" s="1" t="s">
        <v>116</v>
      </c>
      <c r="B4" s="72">
        <v>39897</v>
      </c>
      <c r="C4" s="1" t="s">
        <v>117</v>
      </c>
    </row>
    <row r="5" spans="1:3" ht="12.75">
      <c r="A5" s="1" t="s">
        <v>118</v>
      </c>
      <c r="B5" s="72">
        <v>39902</v>
      </c>
      <c r="C5" s="1" t="s">
        <v>119</v>
      </c>
    </row>
    <row r="6" spans="1:3" ht="12.75">
      <c r="A6" s="1" t="s">
        <v>120</v>
      </c>
      <c r="B6" s="73">
        <v>40021</v>
      </c>
      <c r="C6" s="1" t="s">
        <v>121</v>
      </c>
    </row>
    <row r="7" spans="1:3" ht="12.75">
      <c r="A7" s="1" t="s">
        <v>0</v>
      </c>
      <c r="B7" s="73">
        <v>40044</v>
      </c>
      <c r="C7" s="1" t="s">
        <v>122</v>
      </c>
    </row>
    <row r="8" spans="2:3" ht="12.75">
      <c r="B8" s="73">
        <v>40177</v>
      </c>
      <c r="C8" s="1" t="s">
        <v>123</v>
      </c>
    </row>
    <row r="9" spans="1:3" ht="12.75">
      <c r="A9" s="1" t="s">
        <v>144</v>
      </c>
      <c r="B9" s="73">
        <v>40214</v>
      </c>
      <c r="C9" s="1" t="s">
        <v>145</v>
      </c>
    </row>
    <row r="10" ht="12.75">
      <c r="C10" s="1" t="s">
        <v>146</v>
      </c>
    </row>
    <row r="11" spans="1:3" ht="12.75">
      <c r="A11" s="1" t="s">
        <v>147</v>
      </c>
      <c r="B11" s="73">
        <v>40394</v>
      </c>
      <c r="C11" s="1" t="s">
        <v>148</v>
      </c>
    </row>
    <row r="12" spans="1:3" ht="12.75">
      <c r="A12" s="1" t="s">
        <v>149</v>
      </c>
      <c r="B12" s="73">
        <v>41178</v>
      </c>
      <c r="C12" s="1" t="s">
        <v>150</v>
      </c>
    </row>
  </sheetData>
  <sheetProtection/>
  <printOptions headings="1"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Troester, Kai</dc:creator>
  <cp:keywords/>
  <dc:description/>
  <cp:lastModifiedBy>Advanced Micro Devices</cp:lastModifiedBy>
  <dcterms:created xsi:type="dcterms:W3CDTF">2009-12-30T16:50:28Z</dcterms:created>
  <dcterms:modified xsi:type="dcterms:W3CDTF">2012-09-26T16:03:09Z</dcterms:modified>
  <cp:category/>
  <cp:version/>
  <cp:contentType/>
  <cp:contentStatus/>
</cp:coreProperties>
</file>