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4" activeTab="0"/>
  </bookViews>
  <sheets>
    <sheet name="calculations" sheetId="1" r:id="rId1"/>
    <sheet name="summary" sheetId="2" r:id="rId2"/>
    <sheet name="detailed calculations" sheetId="3" r:id="rId3"/>
    <sheet name="constants" sheetId="4" r:id="rId4"/>
    <sheet name="history" sheetId="5" r:id="rId5"/>
  </sheets>
  <definedNames/>
  <calcPr fullCalcOnLoad="1"/>
</workbook>
</file>

<file path=xl/sharedStrings.xml><?xml version="1.0" encoding="utf-8"?>
<sst xmlns="http://schemas.openxmlformats.org/spreadsheetml/2006/main" count="281" uniqueCount="178">
  <si>
    <t>v 1.6</t>
  </si>
  <si>
    <t>Water Profile Calculator</t>
  </si>
  <si>
    <t>instructions</t>
  </si>
  <si>
    <t>user input</t>
  </si>
  <si>
    <t>calculated data</t>
  </si>
  <si>
    <t>weight unit</t>
  </si>
  <si>
    <t>kg</t>
  </si>
  <si>
    <t xml:space="preserve">enter the units you want to use for entering weights and volumes. The weight of the salts will always be expressed in gram </t>
  </si>
  <si>
    <t>volume unit</t>
  </si>
  <si>
    <t>l</t>
  </si>
  <si>
    <t>base water and blending</t>
  </si>
  <si>
    <t>Use this to enter the starting water profile. If you have a water report, enter the values into the column for water A. If the report lists both alkalinity and bicarbonate you may enter only alkalinity since this is used anyway. bicarbonate is only used to calculate alkalinity if alkalinity is not specified.
If you want to dilute with reverse osmosis or distilled water, use E10 to enter the percentage of water A that you want. The rest will be the water specified as water B which you can leave at 0 if distilled or RO water is used for the dilution.
The resulting water profile and its residual alkalinity will be calculated. Don't worry much about the grayed out values given in degrees German Hardness.
An interesting field is the balance field which gives the ion balance in %. Ideally it should be 0 (i.e. there are as many equivalents of cations as there are anions) but if the water contains a substantial amount of ions that are not listed here (i.e. Potassium or Phosphates), the ions may not add up</t>
  </si>
  <si>
    <t>Water A percentage</t>
  </si>
  <si>
    <t>%</t>
  </si>
  <si>
    <t>ion balance (%)</t>
  </si>
  <si>
    <t>Water A</t>
  </si>
  <si>
    <t>Water B</t>
  </si>
  <si>
    <t>analysis</t>
  </si>
  <si>
    <t>mix</t>
  </si>
  <si>
    <t>calcium</t>
  </si>
  <si>
    <t>mg/l</t>
  </si>
  <si>
    <t>Ca mg/l</t>
  </si>
  <si>
    <t>Ca dH</t>
  </si>
  <si>
    <t>magnesium</t>
  </si>
  <si>
    <t>Mg mg/l</t>
  </si>
  <si>
    <t>Mg dH</t>
  </si>
  <si>
    <t>sodium</t>
  </si>
  <si>
    <t>Na mg/l</t>
  </si>
  <si>
    <t>Na dH</t>
  </si>
  <si>
    <t>sulfate</t>
  </si>
  <si>
    <t>SO4 mg/l</t>
  </si>
  <si>
    <t>SO4 dH</t>
  </si>
  <si>
    <t>chloride</t>
  </si>
  <si>
    <t>Cl mg/l</t>
  </si>
  <si>
    <t>Cl dH</t>
  </si>
  <si>
    <t>bicarb</t>
  </si>
  <si>
    <t>HCO3 mg/l</t>
  </si>
  <si>
    <t>alkalinity</t>
  </si>
  <si>
    <t>ppm CaCO3</t>
  </si>
  <si>
    <t>CaCO3 mg/l</t>
  </si>
  <si>
    <t>alkalinity dH</t>
  </si>
  <si>
    <t>Residual alkalinity</t>
  </si>
  <si>
    <t>as CaCO3</t>
  </si>
  <si>
    <t>dH</t>
  </si>
  <si>
    <t>salts</t>
  </si>
  <si>
    <t>Use this to change the water profile by entering the desired concentrations of salts. The right hand column shows the current mineral content and the bottom row shows the current residual alkalinity. Salts are entered as ppm which makes the amount specified independent from the actual amount of water that will be treated. The necessary weights of salts will be displayed later</t>
  </si>
  <si>
    <t>Gypsym</t>
  </si>
  <si>
    <t>Epsom</t>
  </si>
  <si>
    <t>Table Salt</t>
  </si>
  <si>
    <t>Calcium Chloride</t>
  </si>
  <si>
    <t>Magnesium Chloride</t>
  </si>
  <si>
    <t>Baking soda</t>
  </si>
  <si>
    <t>Chalk undissolved</t>
  </si>
  <si>
    <t>Chalk dissolved</t>
  </si>
  <si>
    <t>CaSO4
·2H2O</t>
  </si>
  <si>
    <t>MgSO4
·7H2O</t>
  </si>
  <si>
    <t>NaCl</t>
  </si>
  <si>
    <t>CaCl2
·2H2O</t>
  </si>
  <si>
    <t>MgCl2
·6H2O</t>
  </si>
  <si>
    <t>NaHCO3</t>
  </si>
  <si>
    <t>CaCO3</t>
  </si>
  <si>
    <t>CaCO3 + CO2</t>
  </si>
  <si>
    <t>ppm</t>
  </si>
  <si>
    <t>pH shift</t>
  </si>
  <si>
    <t>RA (ppm CaCO3)</t>
  </si>
  <si>
    <t>RA (dH)</t>
  </si>
  <si>
    <t>resulting water profile</t>
  </si>
  <si>
    <t>The resulting water profile in detail. The left most column shows the recommended ranges for the individual ions. Mineral concentrations are also given in units of German hardness and mEq/l but you don't have to worry about those.</t>
  </si>
  <si>
    <t>range*</t>
  </si>
  <si>
    <t>50-150</t>
  </si>
  <si>
    <t>mEq/l Ca</t>
  </si>
  <si>
    <t>10-30</t>
  </si>
  <si>
    <t>mEq/l Mg</t>
  </si>
  <si>
    <t>0-150</t>
  </si>
  <si>
    <t>0-350</t>
  </si>
  <si>
    <t>0-250</t>
  </si>
  <si>
    <t xml:space="preserve"> as CaCO3</t>
  </si>
  <si>
    <t>mEq/l</t>
  </si>
  <si>
    <t>RA</t>
  </si>
  <si>
    <t>Water use</t>
  </si>
  <si>
    <t>malt weight</t>
  </si>
  <si>
    <t>The amount of water is needed to calculate the weights of the individual salts
the malt weight is needed to calculate mash thickness which in turn is needed to calculate the pH shift. It can be omitted if the pH shift is not of interest</t>
  </si>
  <si>
    <t>total water (liter)</t>
  </si>
  <si>
    <t>total grist weight</t>
  </si>
  <si>
    <t>Strike water (liter)</t>
  </si>
  <si>
    <t>mash thickness</t>
  </si>
  <si>
    <t>Sparge water (liter)</t>
  </si>
  <si>
    <t>necessary salt additions</t>
  </si>
  <si>
    <t>The weights of the individual salts needed to treat the water. They are given for strike and sparge water as well as the total water. Which of these weights you use depends on your brewing practice. Dissolved chalk will have to be dissolved with CO2 until the water is clear again.</t>
  </si>
  <si>
    <t>g</t>
  </si>
  <si>
    <t>mash</t>
  </si>
  <si>
    <t>sparge</t>
  </si>
  <si>
    <t>total</t>
  </si>
  <si>
    <t>concentrated chalk water</t>
  </si>
  <si>
    <t>This is an option that is useful for brewers who decide to create a larger batch of dissolved chalk water (i.e. in a corny keg under CO2 pressure). It allows you to either enter the water volume and chalk weight of the initial batch or the chalk concentration in that batch. The output are volumes of chalk water that need to be part of the strike, sparge and/or total volume.</t>
  </si>
  <si>
    <t>batch volume</t>
  </si>
  <si>
    <t>chalk concentration</t>
  </si>
  <si>
    <t>chalk weight</t>
  </si>
  <si>
    <t>chalk water for mash</t>
  </si>
  <si>
    <t>OR</t>
  </si>
  <si>
    <t>chalk water for sparge</t>
  </si>
  <si>
    <t>chalk water total</t>
  </si>
  <si>
    <t>© 2009, Kai Troester, braukaiser.com</t>
  </si>
  <si>
    <t>*) source: John Palmer, “How To Brew”</t>
  </si>
  <si>
    <t>Various tables that can be printed or captured in a screen-shot</t>
  </si>
  <si>
    <t xml:space="preserve">base water </t>
  </si>
  <si>
    <t>water profile</t>
  </si>
  <si>
    <t>water A</t>
  </si>
  <si>
    <t>water B</t>
  </si>
  <si>
    <t>blended</t>
  </si>
  <si>
    <t>ppm Ca</t>
  </si>
  <si>
    <t>ppm Mg</t>
  </si>
  <si>
    <t>ppm Na</t>
  </si>
  <si>
    <t>ppm SO4</t>
  </si>
  <si>
    <t>ppm Cl</t>
  </si>
  <si>
    <t>ppm HCO3</t>
  </si>
  <si>
    <t>alkalinity as ppm CaCO3</t>
  </si>
  <si>
    <t>residual alkalinity as ppm CaCO3</t>
  </si>
  <si>
    <t>g/l</t>
  </si>
  <si>
    <t>g/gal</t>
  </si>
  <si>
    <t>Gypsum</t>
  </si>
  <si>
    <t>Epsom salt</t>
  </si>
  <si>
    <t>Table salt</t>
  </si>
  <si>
    <t>Calcium chloride</t>
  </si>
  <si>
    <t>Magnesium chloride</t>
  </si>
  <si>
    <t>Chalk (undissolved)</t>
  </si>
  <si>
    <t>Chalk (dissolved)</t>
  </si>
  <si>
    <t>resulting water</t>
  </si>
  <si>
    <t>RA as CaCO3</t>
  </si>
  <si>
    <t>total water used</t>
  </si>
  <si>
    <t>strike water</t>
  </si>
  <si>
    <t>sparge water</t>
  </si>
  <si>
    <t>grist weight</t>
  </si>
  <si>
    <t>l/kg</t>
  </si>
  <si>
    <t>spH</t>
  </si>
  <si>
    <t>mEq*l/kg</t>
  </si>
  <si>
    <t>pH/dH</t>
  </si>
  <si>
    <t>this is different than the 0.03 that Kolbach found</t>
  </si>
  <si>
    <t>Average base malt DI pH</t>
  </si>
  <si>
    <t>pH</t>
  </si>
  <si>
    <t>mEq from special malt 1</t>
  </si>
  <si>
    <t>mEq</t>
  </si>
  <si>
    <t>mEq from special malt 2</t>
  </si>
  <si>
    <t>mEq from special malt 3</t>
  </si>
  <si>
    <t>total mEq acid from specialty malt</t>
  </si>
  <si>
    <t>alkalinity adjustment from specialty malt</t>
  </si>
  <si>
    <t>alkalinity adjustment from Ca and Mg</t>
  </si>
  <si>
    <t>total balanced alkalinity</t>
  </si>
  <si>
    <t>pH shift from DI pH</t>
  </si>
  <si>
    <t>final pH</t>
  </si>
  <si>
    <t>concentrated chalk water batch volume</t>
  </si>
  <si>
    <t>amount of chalk water needed for mash</t>
  </si>
  <si>
    <t>amount of chalk water needed for sparge</t>
  </si>
  <si>
    <t>amount of chalk water needed for all</t>
  </si>
  <si>
    <t>lactic acid content of acid malt</t>
  </si>
  <si>
    <t>% w/w</t>
  </si>
  <si>
    <t>version</t>
  </si>
  <si>
    <t>date</t>
  </si>
  <si>
    <t>change</t>
  </si>
  <si>
    <t>1.0</t>
  </si>
  <si>
    <t>initial version</t>
  </si>
  <si>
    <t>1.1</t>
  </si>
  <si>
    <t>removed RA as HCO3 as this is useless</t>
  </si>
  <si>
    <t>1.2</t>
  </si>
  <si>
    <t>added water profile as mEq/l</t>
  </si>
  <si>
    <t>Changed CaCO3 alkalinity contribution to 0.5</t>
  </si>
  <si>
    <t>1.3</t>
  </si>
  <si>
    <t>added acid malt additions</t>
  </si>
  <si>
    <t>1.4</t>
  </si>
  <si>
    <t xml:space="preserve">fixed some comments </t>
  </si>
  <si>
    <t>1.4i</t>
  </si>
  <si>
    <t>created mobile version</t>
  </si>
  <si>
    <t>1.5i</t>
  </si>
  <si>
    <t>minor format changes</t>
  </si>
  <si>
    <t>1.6</t>
  </si>
  <si>
    <t>added support for dissolved chalk and mash</t>
  </si>
  <si>
    <t>thickness dependent pH shift; merged mobile</t>
  </si>
  <si>
    <t>and desktop version</t>
  </si>
</sst>
</file>

<file path=xl/styles.xml><?xml version="1.0" encoding="utf-8"?>
<styleSheet xmlns="http://schemas.openxmlformats.org/spreadsheetml/2006/main">
  <numFmts count="12">
    <numFmt numFmtId="164" formatCode="GENERAL"/>
    <numFmt numFmtId="165" formatCode="0.0"/>
    <numFmt numFmtId="166" formatCode="0.00"/>
    <numFmt numFmtId="167" formatCode="#,##0.00"/>
    <numFmt numFmtId="168" formatCode="#,##0"/>
    <numFmt numFmtId="169" formatCode="@"/>
    <numFmt numFmtId="170" formatCode="#,##0.0"/>
    <numFmt numFmtId="171" formatCode="0.00%"/>
    <numFmt numFmtId="172" formatCode="0"/>
    <numFmt numFmtId="173" formatCode="M/D/YY"/>
    <numFmt numFmtId="174" formatCode="M/D/YYYY"/>
    <numFmt numFmtId="175" formatCode="MM/DD/YY"/>
  </numFmts>
  <fonts count="10">
    <font>
      <sz val="10"/>
      <name val="Arial"/>
      <family val="2"/>
    </font>
    <font>
      <b/>
      <sz val="14"/>
      <name val="Arial"/>
      <family val="2"/>
    </font>
    <font>
      <b/>
      <sz val="16"/>
      <name val="Arial"/>
      <family val="2"/>
    </font>
    <font>
      <b/>
      <sz val="10"/>
      <name val="Arial"/>
      <family val="2"/>
    </font>
    <font>
      <b/>
      <sz val="12"/>
      <name val="Arial"/>
      <family val="2"/>
    </font>
    <font>
      <sz val="10"/>
      <color indexed="55"/>
      <name val="Arial"/>
      <family val="2"/>
    </font>
    <font>
      <sz val="8"/>
      <color indexed="55"/>
      <name val="Arial"/>
      <family val="2"/>
    </font>
    <font>
      <b/>
      <sz val="8"/>
      <name val="Arial"/>
      <family val="2"/>
    </font>
    <font>
      <sz val="8"/>
      <name val="Arial"/>
      <family val="2"/>
    </font>
    <font>
      <b/>
      <sz val="10"/>
      <color indexed="55"/>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56">
    <border>
      <left/>
      <right/>
      <top/>
      <bottom/>
      <diagonal/>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6">
    <xf numFmtId="164" fontId="0" fillId="0" borderId="0" xfId="0" applyAlignment="1">
      <alignment/>
    </xf>
    <xf numFmtId="164" fontId="0"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164" fontId="3" fillId="0" borderId="0" xfId="0" applyNumberFormat="1" applyFont="1" applyFill="1" applyBorder="1" applyAlignment="1" applyProtection="1">
      <alignment/>
      <protection/>
    </xf>
    <xf numFmtId="164" fontId="0" fillId="2" borderId="1" xfId="0" applyNumberFormat="1" applyFont="1" applyFill="1" applyBorder="1" applyAlignment="1" applyProtection="1">
      <alignment/>
      <protection/>
    </xf>
    <xf numFmtId="164" fontId="0" fillId="3" borderId="1" xfId="0" applyNumberFormat="1" applyFont="1" applyFill="1" applyBorder="1" applyAlignment="1" applyProtection="1">
      <alignment/>
      <protection/>
    </xf>
    <xf numFmtId="164" fontId="0" fillId="0" borderId="2" xfId="0" applyNumberFormat="1" applyFont="1" applyFill="1" applyBorder="1" applyAlignment="1" applyProtection="1">
      <alignment/>
      <protection/>
    </xf>
    <xf numFmtId="164" fontId="0" fillId="0" borderId="3" xfId="0" applyNumberFormat="1" applyFont="1" applyFill="1" applyBorder="1" applyAlignment="1" applyProtection="1">
      <alignment/>
      <protection/>
    </xf>
    <xf numFmtId="164" fontId="0" fillId="2" borderId="4" xfId="0" applyFont="1" applyFill="1" applyBorder="1" applyAlignment="1">
      <alignment horizontal="center"/>
    </xf>
    <xf numFmtId="164" fontId="0" fillId="0" borderId="0" xfId="0" applyNumberFormat="1" applyFont="1" applyFill="1" applyBorder="1" applyAlignment="1" applyProtection="1">
      <alignment wrapText="1"/>
      <protection/>
    </xf>
    <xf numFmtId="164" fontId="0" fillId="0" borderId="5" xfId="0" applyNumberFormat="1" applyFont="1" applyFill="1" applyBorder="1" applyAlignment="1" applyProtection="1">
      <alignment/>
      <protection/>
    </xf>
    <xf numFmtId="164" fontId="0" fillId="0" borderId="6" xfId="0" applyNumberFormat="1" applyFont="1" applyFill="1" applyBorder="1" applyAlignment="1" applyProtection="1">
      <alignment/>
      <protection/>
    </xf>
    <xf numFmtId="164" fontId="0" fillId="2" borderId="7" xfId="0" applyNumberFormat="1" applyFont="1" applyFill="1" applyBorder="1" applyAlignment="1" applyProtection="1">
      <alignment horizontal="center"/>
      <protection/>
    </xf>
    <xf numFmtId="164" fontId="0" fillId="0" borderId="8" xfId="0" applyNumberFormat="1" applyFont="1" applyFill="1" applyBorder="1" applyAlignment="1" applyProtection="1">
      <alignment/>
      <protection/>
    </xf>
    <xf numFmtId="164" fontId="0" fillId="0" borderId="9" xfId="0" applyNumberFormat="1" applyFont="1" applyFill="1" applyBorder="1" applyAlignment="1" applyProtection="1">
      <alignment/>
      <protection/>
    </xf>
    <xf numFmtId="164" fontId="4" fillId="0" borderId="10" xfId="0" applyNumberFormat="1" applyFont="1" applyFill="1" applyBorder="1" applyAlignment="1" applyProtection="1">
      <alignment/>
      <protection/>
    </xf>
    <xf numFmtId="164" fontId="3" fillId="0" borderId="10" xfId="0" applyNumberFormat="1" applyFont="1" applyFill="1" applyBorder="1" applyAlignment="1" applyProtection="1">
      <alignment/>
      <protection/>
    </xf>
    <xf numFmtId="164" fontId="0" fillId="0" borderId="10" xfId="0" applyNumberFormat="1" applyFont="1" applyFill="1" applyBorder="1" applyAlignment="1" applyProtection="1">
      <alignment/>
      <protection/>
    </xf>
    <xf numFmtId="164" fontId="0" fillId="0" borderId="11" xfId="0" applyNumberFormat="1" applyFont="1" applyFill="1" applyBorder="1" applyAlignment="1" applyProtection="1">
      <alignment/>
      <protection/>
    </xf>
    <xf numFmtId="164" fontId="0" fillId="0" borderId="0" xfId="0" applyNumberFormat="1" applyFont="1" applyFill="1" applyBorder="1" applyAlignment="1" applyProtection="1">
      <alignment vertical="top" wrapText="1"/>
      <protection/>
    </xf>
    <xf numFmtId="164" fontId="0" fillId="0" borderId="12" xfId="0" applyNumberFormat="1" applyFont="1" applyFill="1" applyBorder="1" applyAlignment="1" applyProtection="1">
      <alignment/>
      <protection/>
    </xf>
    <xf numFmtId="164" fontId="0" fillId="0" borderId="1" xfId="0" applyNumberFormat="1" applyFont="1" applyFill="1" applyBorder="1" applyAlignment="1" applyProtection="1">
      <alignment/>
      <protection/>
    </xf>
    <xf numFmtId="165" fontId="5" fillId="3" borderId="1" xfId="0" applyNumberFormat="1" applyFont="1" applyFill="1" applyBorder="1" applyAlignment="1" applyProtection="1">
      <alignment horizontal="center"/>
      <protection/>
    </xf>
    <xf numFmtId="164" fontId="6" fillId="0" borderId="13" xfId="0" applyNumberFormat="1" applyFont="1" applyFill="1" applyBorder="1" applyAlignment="1" applyProtection="1">
      <alignment/>
      <protection/>
    </xf>
    <xf numFmtId="164" fontId="0" fillId="0" borderId="14" xfId="0" applyNumberFormat="1" applyFont="1" applyFill="1" applyBorder="1" applyAlignment="1" applyProtection="1">
      <alignment/>
      <protection/>
    </xf>
    <xf numFmtId="164" fontId="0" fillId="0" borderId="12" xfId="0" applyBorder="1" applyAlignment="1">
      <alignment/>
    </xf>
    <xf numFmtId="164" fontId="7" fillId="0" borderId="1" xfId="0" applyNumberFormat="1" applyFont="1" applyFill="1" applyBorder="1" applyAlignment="1" applyProtection="1">
      <alignment horizontal="center"/>
      <protection/>
    </xf>
    <xf numFmtId="164" fontId="8" fillId="0" borderId="1" xfId="0" applyNumberFormat="1" applyFont="1" applyFill="1" applyBorder="1" applyAlignment="1" applyProtection="1">
      <alignment horizontal="center"/>
      <protection/>
    </xf>
    <xf numFmtId="164" fontId="5" fillId="0" borderId="0"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Font="1" applyBorder="1" applyAlignment="1">
      <alignment/>
    </xf>
    <xf numFmtId="164" fontId="0" fillId="2" borderId="1" xfId="0" applyNumberFormat="1" applyFont="1" applyFill="1" applyBorder="1" applyAlignment="1" applyProtection="1">
      <alignment horizontal="center"/>
      <protection/>
    </xf>
    <xf numFmtId="165" fontId="0" fillId="3" borderId="1" xfId="0" applyNumberFormat="1" applyFont="1" applyFill="1" applyBorder="1" applyAlignment="1" applyProtection="1">
      <alignment horizontal="center"/>
      <protection/>
    </xf>
    <xf numFmtId="164" fontId="8" fillId="0" borderId="16" xfId="0" applyFont="1" applyBorder="1" applyAlignment="1">
      <alignment/>
    </xf>
    <xf numFmtId="165" fontId="5" fillId="0" borderId="0" xfId="0" applyNumberFormat="1" applyFont="1" applyFill="1" applyBorder="1" applyAlignment="1" applyProtection="1">
      <alignment horizontal="center"/>
      <protection/>
    </xf>
    <xf numFmtId="164" fontId="6" fillId="0" borderId="0" xfId="0" applyNumberFormat="1" applyFont="1" applyFill="1" applyBorder="1" applyAlignment="1" applyProtection="1">
      <alignment/>
      <protection/>
    </xf>
    <xf numFmtId="164" fontId="0" fillId="0" borderId="17" xfId="0" applyBorder="1" applyAlignment="1">
      <alignment/>
    </xf>
    <xf numFmtId="164" fontId="0" fillId="0" borderId="8" xfId="0" applyBorder="1" applyAlignment="1">
      <alignment/>
    </xf>
    <xf numFmtId="164" fontId="0" fillId="3" borderId="18" xfId="0" applyNumberFormat="1" applyFont="1" applyFill="1" applyBorder="1" applyAlignment="1" applyProtection="1">
      <alignment horizontal="center"/>
      <protection/>
    </xf>
    <xf numFmtId="164" fontId="0" fillId="0" borderId="18" xfId="0" applyFont="1" applyBorder="1" applyAlignment="1">
      <alignment/>
    </xf>
    <xf numFmtId="165" fontId="5" fillId="3" borderId="18" xfId="0" applyNumberFormat="1" applyFont="1" applyFill="1" applyBorder="1" applyAlignment="1" applyProtection="1">
      <alignment horizontal="center"/>
      <protection/>
    </xf>
    <xf numFmtId="164" fontId="5" fillId="0" borderId="19" xfId="0" applyFont="1" applyBorder="1" applyAlignment="1">
      <alignment/>
    </xf>
    <xf numFmtId="166" fontId="0" fillId="0" borderId="2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10" xfId="0" applyBorder="1" applyAlignment="1">
      <alignment/>
    </xf>
    <xf numFmtId="164" fontId="4" fillId="0" borderId="10" xfId="0" applyNumberFormat="1" applyFont="1" applyFill="1" applyBorder="1" applyAlignment="1" applyProtection="1">
      <alignment horizontal="center"/>
      <protection/>
    </xf>
    <xf numFmtId="166" fontId="0" fillId="0" borderId="10" xfId="0" applyNumberFormat="1" applyFont="1" applyFill="1" applyBorder="1" applyAlignment="1" applyProtection="1">
      <alignment/>
      <protection/>
    </xf>
    <xf numFmtId="166" fontId="0" fillId="0" borderId="11" xfId="0" applyNumberFormat="1" applyFont="1" applyFill="1" applyBorder="1" applyAlignment="1" applyProtection="1">
      <alignment/>
      <protection/>
    </xf>
    <xf numFmtId="166" fontId="0" fillId="0" borderId="0" xfId="0" applyNumberFormat="1" applyFont="1" applyFill="1" applyBorder="1" applyAlignment="1" applyProtection="1">
      <alignment vertical="top" wrapText="1"/>
      <protection/>
    </xf>
    <xf numFmtId="164" fontId="8" fillId="0" borderId="16" xfId="0" applyNumberFormat="1" applyFont="1" applyFill="1" applyBorder="1" applyAlignment="1" applyProtection="1">
      <alignment horizontal="center" wrapText="1"/>
      <protection/>
    </xf>
    <xf numFmtId="164" fontId="8" fillId="0" borderId="1" xfId="0" applyNumberFormat="1" applyFont="1" applyFill="1" applyBorder="1" applyAlignment="1" applyProtection="1">
      <alignment horizontal="center" wrapText="1"/>
      <protection/>
    </xf>
    <xf numFmtId="164" fontId="0" fillId="0" borderId="16" xfId="0" applyNumberFormat="1" applyFont="1" applyFill="1" applyBorder="1" applyAlignment="1" applyProtection="1">
      <alignment horizontal="center" wrapText="1"/>
      <protection/>
    </xf>
    <xf numFmtId="164" fontId="0" fillId="0" borderId="1" xfId="0" applyNumberFormat="1" applyFont="1" applyFill="1" applyBorder="1" applyAlignment="1" applyProtection="1">
      <alignment horizontal="center" wrapText="1"/>
      <protection/>
    </xf>
    <xf numFmtId="164" fontId="0" fillId="0" borderId="15" xfId="0" applyNumberFormat="1" applyFont="1" applyFill="1" applyBorder="1" applyAlignment="1" applyProtection="1">
      <alignment horizontal="center" wrapText="1"/>
      <protection/>
    </xf>
    <xf numFmtId="164" fontId="0" fillId="2" borderId="16" xfId="0" applyNumberFormat="1" applyFont="1" applyFill="1" applyBorder="1" applyAlignment="1" applyProtection="1">
      <alignment horizontal="center"/>
      <protection/>
    </xf>
    <xf numFmtId="164" fontId="0" fillId="0" borderId="15" xfId="0" applyNumberFormat="1" applyFont="1" applyFill="1" applyBorder="1" applyAlignment="1" applyProtection="1">
      <alignment horizontal="center"/>
      <protection/>
    </xf>
    <xf numFmtId="167" fontId="5" fillId="3" borderId="16" xfId="0" applyNumberFormat="1" applyFont="1" applyFill="1" applyBorder="1" applyAlignment="1" applyProtection="1">
      <alignment horizontal="center"/>
      <protection/>
    </xf>
    <xf numFmtId="167" fontId="5" fillId="0" borderId="0" xfId="0" applyNumberFormat="1" applyFont="1" applyFill="1" applyBorder="1" applyAlignment="1" applyProtection="1">
      <alignment horizontal="center"/>
      <protection/>
    </xf>
    <xf numFmtId="167" fontId="5" fillId="3" borderId="1" xfId="0" applyNumberFormat="1" applyFont="1" applyFill="1" applyBorder="1" applyAlignment="1" applyProtection="1">
      <alignment horizontal="center"/>
      <protection/>
    </xf>
    <xf numFmtId="168" fontId="0" fillId="3" borderId="21" xfId="0" applyNumberFormat="1" applyFont="1" applyFill="1" applyBorder="1" applyAlignment="1" applyProtection="1">
      <alignment horizontal="center"/>
      <protection/>
    </xf>
    <xf numFmtId="167" fontId="5" fillId="0" borderId="12" xfId="0" applyNumberFormat="1" applyFont="1" applyFill="1" applyBorder="1" applyAlignment="1" applyProtection="1">
      <alignment horizontal="center"/>
      <protection/>
    </xf>
    <xf numFmtId="167" fontId="5" fillId="0" borderId="22" xfId="0" applyNumberFormat="1" applyFont="1" applyFill="1" applyBorder="1" applyAlignment="1" applyProtection="1">
      <alignment horizontal="center"/>
      <protection/>
    </xf>
    <xf numFmtId="167" fontId="5" fillId="0" borderId="23" xfId="0" applyNumberFormat="1" applyFont="1" applyFill="1" applyBorder="1" applyAlignment="1" applyProtection="1">
      <alignment horizontal="center"/>
      <protection/>
    </xf>
    <xf numFmtId="167" fontId="0" fillId="0" borderId="24" xfId="0" applyNumberFormat="1" applyFont="1" applyFill="1" applyBorder="1" applyAlignment="1" applyProtection="1">
      <alignment horizontal="center"/>
      <protection/>
    </xf>
    <xf numFmtId="167" fontId="0" fillId="3" borderId="18" xfId="0" applyNumberFormat="1" applyFont="1" applyFill="1" applyBorder="1" applyAlignment="1" applyProtection="1">
      <alignment horizontal="center"/>
      <protection/>
    </xf>
    <xf numFmtId="167" fontId="0" fillId="0" borderId="8" xfId="0" applyNumberFormat="1" applyFont="1" applyFill="1" applyBorder="1" applyAlignment="1" applyProtection="1">
      <alignment horizontal="center"/>
      <protection/>
    </xf>
    <xf numFmtId="167" fontId="0" fillId="0" borderId="8" xfId="0" applyNumberFormat="1" applyFont="1" applyFill="1" applyBorder="1" applyAlignment="1" applyProtection="1">
      <alignment horizontal="left"/>
      <protection/>
    </xf>
    <xf numFmtId="167" fontId="3" fillId="3" borderId="18" xfId="0" applyNumberFormat="1" applyFont="1" applyFill="1" applyBorder="1" applyAlignment="1" applyProtection="1">
      <alignment horizontal="center"/>
      <protection/>
    </xf>
    <xf numFmtId="167" fontId="5" fillId="0" borderId="8" xfId="0" applyNumberFormat="1" applyFont="1" applyFill="1" applyBorder="1" applyAlignment="1" applyProtection="1">
      <alignment horizontal="center"/>
      <protection/>
    </xf>
    <xf numFmtId="168" fontId="5" fillId="3" borderId="7" xfId="0" applyNumberFormat="1" applyFont="1" applyFill="1" applyBorder="1" applyAlignment="1" applyProtection="1">
      <alignment horizontal="center"/>
      <protection/>
    </xf>
    <xf numFmtId="167" fontId="0" fillId="0" borderId="0" xfId="0" applyNumberFormat="1" applyFont="1" applyFill="1" applyBorder="1" applyAlignment="1" applyProtection="1">
      <alignment horizontal="center"/>
      <protection/>
    </xf>
    <xf numFmtId="167" fontId="0" fillId="0" borderId="9" xfId="0" applyNumberFormat="1" applyFont="1" applyFill="1" applyBorder="1" applyAlignment="1" applyProtection="1">
      <alignment horizontal="center"/>
      <protection/>
    </xf>
    <xf numFmtId="167" fontId="0" fillId="0" borderId="10" xfId="0" applyNumberFormat="1" applyFont="1" applyFill="1" applyBorder="1" applyAlignment="1" applyProtection="1">
      <alignment horizontal="center"/>
      <protection/>
    </xf>
    <xf numFmtId="164" fontId="0" fillId="0" borderId="12" xfId="0" applyNumberFormat="1" applyFont="1" applyFill="1" applyBorder="1" applyAlignment="1" applyProtection="1">
      <alignment horizontal="center"/>
      <protection/>
    </xf>
    <xf numFmtId="169" fontId="0" fillId="0" borderId="16" xfId="0" applyNumberFormat="1" applyFont="1" applyFill="1" applyBorder="1" applyAlignment="1" applyProtection="1">
      <alignment horizontal="center"/>
      <protection/>
    </xf>
    <xf numFmtId="170" fontId="3" fillId="3" borderId="1" xfId="0" applyNumberFormat="1" applyFont="1" applyFill="1" applyBorder="1" applyAlignment="1" applyProtection="1">
      <alignment/>
      <protection/>
    </xf>
    <xf numFmtId="166" fontId="5" fillId="3" borderId="1" xfId="0" applyNumberFormat="1" applyFont="1" applyFill="1" applyBorder="1" applyAlignment="1" applyProtection="1">
      <alignment/>
      <protection/>
    </xf>
    <xf numFmtId="164" fontId="5" fillId="3" borderId="1" xfId="0" applyNumberFormat="1" applyFont="1" applyFill="1" applyBorder="1" applyAlignment="1" applyProtection="1">
      <alignment/>
      <protection/>
    </xf>
    <xf numFmtId="164" fontId="0" fillId="0" borderId="15" xfId="0" applyBorder="1" applyAlignment="1">
      <alignment/>
    </xf>
    <xf numFmtId="169" fontId="0" fillId="0" borderId="12" xfId="0" applyNumberFormat="1" applyFont="1" applyFill="1" applyBorder="1" applyAlignment="1" applyProtection="1">
      <alignment horizontal="left"/>
      <protection/>
    </xf>
    <xf numFmtId="166" fontId="5" fillId="0" borderId="0" xfId="0" applyNumberFormat="1" applyFont="1" applyFill="1" applyBorder="1" applyAlignment="1" applyProtection="1">
      <alignment/>
      <protection/>
    </xf>
    <xf numFmtId="164" fontId="5" fillId="0" borderId="0" xfId="0" applyFont="1" applyAlignment="1">
      <alignment/>
    </xf>
    <xf numFmtId="164" fontId="3" fillId="0" borderId="16" xfId="0" applyNumberFormat="1" applyFont="1" applyFill="1" applyBorder="1" applyAlignment="1" applyProtection="1">
      <alignment/>
      <protection/>
    </xf>
    <xf numFmtId="167" fontId="3" fillId="3" borderId="1" xfId="0" applyNumberFormat="1" applyFont="1" applyFill="1" applyBorder="1" applyAlignment="1" applyProtection="1">
      <alignment/>
      <protection/>
    </xf>
    <xf numFmtId="164" fontId="0" fillId="0" borderId="0" xfId="0" applyBorder="1" applyAlignment="1">
      <alignment/>
    </xf>
    <xf numFmtId="166" fontId="9" fillId="3" borderId="1" xfId="0" applyNumberFormat="1" applyFont="1" applyFill="1" applyBorder="1" applyAlignment="1" applyProtection="1">
      <alignment/>
      <protection/>
    </xf>
    <xf numFmtId="164" fontId="3" fillId="0" borderId="25" xfId="0" applyNumberFormat="1" applyFont="1" applyFill="1" applyBorder="1" applyAlignment="1" applyProtection="1">
      <alignment/>
      <protection/>
    </xf>
    <xf numFmtId="167" fontId="0" fillId="3" borderId="26" xfId="0" applyNumberFormat="1" applyFont="1" applyFill="1" applyBorder="1" applyAlignment="1" applyProtection="1">
      <alignment/>
      <protection/>
    </xf>
    <xf numFmtId="164" fontId="0" fillId="0" borderId="27" xfId="0" applyNumberFormat="1" applyFill="1" applyBorder="1" applyAlignment="1" applyProtection="1">
      <alignment horizontal="center"/>
      <protection/>
    </xf>
    <xf numFmtId="166" fontId="3" fillId="0" borderId="8" xfId="0" applyNumberFormat="1" applyFont="1" applyFill="1" applyBorder="1" applyAlignment="1" applyProtection="1">
      <alignment/>
      <protection/>
    </xf>
    <xf numFmtId="164" fontId="0" fillId="0" borderId="28" xfId="0" applyNumberFormat="1" applyFont="1" applyFill="1" applyBorder="1" applyAlignment="1" applyProtection="1">
      <alignment/>
      <protection/>
    </xf>
    <xf numFmtId="164" fontId="4" fillId="0" borderId="29" xfId="0" applyNumberFormat="1" applyFont="1" applyFill="1" applyBorder="1" applyAlignment="1" applyProtection="1">
      <alignment/>
      <protection/>
    </xf>
    <xf numFmtId="164" fontId="0" fillId="0" borderId="29" xfId="0" applyNumberFormat="1" applyFont="1" applyFill="1" applyBorder="1" applyAlignment="1" applyProtection="1">
      <alignment/>
      <protection/>
    </xf>
    <xf numFmtId="164" fontId="0" fillId="0" borderId="30" xfId="0" applyNumberFormat="1" applyFont="1" applyFill="1" applyBorder="1" applyAlignment="1" applyProtection="1">
      <alignment/>
      <protection/>
    </xf>
    <xf numFmtId="164" fontId="0" fillId="0" borderId="2" xfId="0" applyBorder="1" applyAlignment="1">
      <alignment/>
    </xf>
    <xf numFmtId="164" fontId="0" fillId="0" borderId="31" xfId="0" applyNumberFormat="1" applyFont="1" applyFill="1" applyBorder="1" applyAlignment="1" applyProtection="1">
      <alignment/>
      <protection/>
    </xf>
    <xf numFmtId="164" fontId="0" fillId="0" borderId="32" xfId="0" applyNumberFormat="1" applyFont="1" applyFill="1" applyBorder="1" applyAlignment="1" applyProtection="1">
      <alignment/>
      <protection/>
    </xf>
    <xf numFmtId="164" fontId="0" fillId="0" borderId="21" xfId="0" applyNumberFormat="1" applyFont="1" applyFill="1" applyBorder="1" applyAlignment="1" applyProtection="1">
      <alignment/>
      <protection/>
    </xf>
    <xf numFmtId="164" fontId="0" fillId="3" borderId="18" xfId="0" applyNumberFormat="1" applyFont="1" applyFill="1" applyBorder="1" applyAlignment="1" applyProtection="1">
      <alignment/>
      <protection/>
    </xf>
    <xf numFmtId="164" fontId="0" fillId="0" borderId="7" xfId="0" applyNumberFormat="1" applyFont="1" applyFill="1" applyBorder="1" applyAlignment="1" applyProtection="1">
      <alignment/>
      <protection/>
    </xf>
    <xf numFmtId="164" fontId="0" fillId="0" borderId="33" xfId="0" applyNumberFormat="1" applyFont="1" applyFill="1" applyBorder="1" applyAlignment="1" applyProtection="1">
      <alignment/>
      <protection/>
    </xf>
    <xf numFmtId="164" fontId="0" fillId="0" borderId="34" xfId="0" applyNumberFormat="1" applyFont="1" applyFill="1" applyBorder="1" applyAlignment="1" applyProtection="1">
      <alignment/>
      <protection/>
    </xf>
    <xf numFmtId="166" fontId="0" fillId="3" borderId="16" xfId="0" applyNumberFormat="1" applyFont="1" applyFill="1" applyBorder="1" applyAlignment="1" applyProtection="1">
      <alignment horizontal="center"/>
      <protection/>
    </xf>
    <xf numFmtId="166" fontId="0" fillId="3" borderId="1" xfId="0" applyNumberFormat="1" applyFont="1" applyFill="1" applyBorder="1" applyAlignment="1" applyProtection="1">
      <alignment horizontal="center"/>
      <protection/>
    </xf>
    <xf numFmtId="166" fontId="0" fillId="3" borderId="24" xfId="0" applyNumberFormat="1" applyFont="1" applyFill="1" applyBorder="1" applyAlignment="1" applyProtection="1">
      <alignment horizontal="center"/>
      <protection/>
    </xf>
    <xf numFmtId="166" fontId="0" fillId="3" borderId="18" xfId="0" applyNumberFormat="1" applyFont="1" applyFill="1" applyBorder="1" applyAlignment="1" applyProtection="1">
      <alignment horizontal="center"/>
      <protection/>
    </xf>
    <xf numFmtId="164" fontId="0" fillId="0" borderId="9" xfId="0" applyBorder="1" applyAlignment="1">
      <alignment/>
    </xf>
    <xf numFmtId="164" fontId="4" fillId="0" borderId="10" xfId="0" applyFont="1" applyBorder="1" applyAlignment="1">
      <alignment/>
    </xf>
    <xf numFmtId="164" fontId="0" fillId="0" borderId="11" xfId="0" applyBorder="1" applyAlignment="1">
      <alignment/>
    </xf>
    <xf numFmtId="164" fontId="0" fillId="0" borderId="31" xfId="0" applyBorder="1" applyAlignment="1">
      <alignment/>
    </xf>
    <xf numFmtId="164" fontId="0" fillId="0" borderId="32" xfId="0" applyFont="1" applyBorder="1" applyAlignment="1">
      <alignment horizontal="right"/>
    </xf>
    <xf numFmtId="164" fontId="0" fillId="2" borderId="1" xfId="0" applyFill="1" applyBorder="1" applyAlignment="1">
      <alignment/>
    </xf>
    <xf numFmtId="164" fontId="0" fillId="0" borderId="1" xfId="0" applyBorder="1" applyAlignment="1">
      <alignment/>
    </xf>
    <xf numFmtId="164" fontId="0" fillId="0" borderId="13" xfId="0" applyBorder="1" applyAlignment="1">
      <alignment/>
    </xf>
    <xf numFmtId="164" fontId="0" fillId="0" borderId="35" xfId="0" applyBorder="1" applyAlignment="1">
      <alignment/>
    </xf>
    <xf numFmtId="164" fontId="0" fillId="3" borderId="1" xfId="0" applyFill="1" applyBorder="1" applyAlignment="1">
      <alignment/>
    </xf>
    <xf numFmtId="164" fontId="0" fillId="0" borderId="21" xfId="0" applyFont="1" applyBorder="1" applyAlignment="1">
      <alignment/>
    </xf>
    <xf numFmtId="164" fontId="0" fillId="0" borderId="5" xfId="0" applyBorder="1" applyAlignment="1">
      <alignment/>
    </xf>
    <xf numFmtId="164" fontId="0" fillId="0" borderId="36" xfId="0" applyFont="1" applyBorder="1" applyAlignment="1">
      <alignment horizontal="right"/>
    </xf>
    <xf numFmtId="164" fontId="0" fillId="2" borderId="18" xfId="0" applyFill="1" applyBorder="1" applyAlignment="1">
      <alignment/>
    </xf>
    <xf numFmtId="164" fontId="0" fillId="0" borderId="19" xfId="0" applyBorder="1" applyAlignment="1">
      <alignment/>
    </xf>
    <xf numFmtId="164" fontId="0" fillId="0" borderId="36" xfId="0" applyBorder="1" applyAlignment="1">
      <alignment/>
    </xf>
    <xf numFmtId="164" fontId="0" fillId="0" borderId="6" xfId="0" applyFont="1" applyBorder="1" applyAlignment="1">
      <alignment horizontal="right"/>
    </xf>
    <xf numFmtId="164" fontId="0" fillId="3" borderId="18" xfId="0" applyFill="1" applyBorder="1" applyAlignment="1">
      <alignment/>
    </xf>
    <xf numFmtId="164" fontId="0" fillId="0" borderId="7" xfId="0" applyBorder="1" applyAlignment="1">
      <alignment/>
    </xf>
    <xf numFmtId="164" fontId="8" fillId="0" borderId="0" xfId="0" applyNumberFormat="1" applyFont="1" applyFill="1" applyBorder="1" applyAlignment="1" applyProtection="1">
      <alignment/>
      <protection/>
    </xf>
    <xf numFmtId="164" fontId="0" fillId="0" borderId="0" xfId="0" applyAlignment="1">
      <alignment horizontal="center"/>
    </xf>
    <xf numFmtId="164" fontId="2" fillId="0" borderId="0" xfId="0" applyFont="1" applyAlignment="1">
      <alignment/>
    </xf>
    <xf numFmtId="164" fontId="3" fillId="0" borderId="9" xfId="0" applyNumberFormat="1" applyFont="1" applyFill="1" applyBorder="1" applyAlignment="1" applyProtection="1">
      <alignment horizontal="center"/>
      <protection/>
    </xf>
    <xf numFmtId="164" fontId="3" fillId="0" borderId="29" xfId="0" applyNumberFormat="1" applyFont="1" applyFill="1" applyBorder="1" applyAlignment="1" applyProtection="1">
      <alignment horizontal="center"/>
      <protection/>
    </xf>
    <xf numFmtId="164" fontId="3" fillId="0" borderId="30" xfId="0" applyNumberFormat="1" applyFont="1" applyFill="1" applyBorder="1" applyAlignment="1" applyProtection="1">
      <alignment horizontal="center"/>
      <protection/>
    </xf>
    <xf numFmtId="164" fontId="4" fillId="0" borderId="0" xfId="0" applyFont="1" applyAlignment="1">
      <alignment horizontal="center"/>
    </xf>
    <xf numFmtId="164" fontId="0" fillId="0" borderId="37" xfId="0" applyNumberFormat="1" applyFont="1" applyFill="1" applyBorder="1" applyAlignment="1" applyProtection="1">
      <alignment/>
      <protection/>
    </xf>
    <xf numFmtId="164" fontId="0" fillId="0" borderId="1" xfId="0" applyNumberFormat="1" applyFont="1" applyFill="1" applyBorder="1" applyAlignment="1" applyProtection="1">
      <alignment horizontal="center"/>
      <protection/>
    </xf>
    <xf numFmtId="164" fontId="0" fillId="0" borderId="21" xfId="0" applyNumberFormat="1" applyFont="1" applyFill="1" applyBorder="1" applyAlignment="1" applyProtection="1">
      <alignment horizontal="center"/>
      <protection/>
    </xf>
    <xf numFmtId="164" fontId="0" fillId="0" borderId="38" xfId="0" applyNumberFormat="1" applyFont="1" applyFill="1" applyBorder="1" applyAlignment="1" applyProtection="1">
      <alignment/>
      <protection/>
    </xf>
    <xf numFmtId="171" fontId="0" fillId="0" borderId="1" xfId="0" applyNumberFormat="1" applyFont="1" applyFill="1" applyBorder="1" applyAlignment="1" applyProtection="1">
      <alignment horizontal="center"/>
      <protection/>
    </xf>
    <xf numFmtId="164" fontId="0" fillId="0" borderId="39" xfId="0" applyFont="1" applyBorder="1" applyAlignment="1">
      <alignment horizontal="center" wrapText="1"/>
    </xf>
    <xf numFmtId="164" fontId="0" fillId="0" borderId="40" xfId="0" applyFont="1" applyBorder="1" applyAlignment="1">
      <alignment horizontal="center" wrapText="1"/>
    </xf>
    <xf numFmtId="164" fontId="0" fillId="0" borderId="4" xfId="0" applyFont="1" applyBorder="1" applyAlignment="1">
      <alignment horizontal="center" wrapText="1"/>
    </xf>
    <xf numFmtId="164" fontId="0" fillId="0" borderId="16" xfId="0" applyNumberFormat="1" applyFont="1" applyFill="1" applyBorder="1" applyAlignment="1" applyProtection="1">
      <alignment/>
      <protection/>
    </xf>
    <xf numFmtId="167" fontId="0" fillId="0" borderId="1" xfId="0" applyNumberFormat="1" applyFont="1" applyFill="1" applyBorder="1" applyAlignment="1" applyProtection="1">
      <alignment horizontal="center"/>
      <protection/>
    </xf>
    <xf numFmtId="167" fontId="0" fillId="0" borderId="21" xfId="0" applyNumberFormat="1" applyFont="1" applyFill="1" applyBorder="1" applyAlignment="1" applyProtection="1">
      <alignment horizontal="center"/>
      <protection/>
    </xf>
    <xf numFmtId="172" fontId="0" fillId="0" borderId="24" xfId="0" applyNumberFormat="1" applyBorder="1" applyAlignment="1">
      <alignment horizontal="center"/>
    </xf>
    <xf numFmtId="172" fontId="0" fillId="0" borderId="18" xfId="0" applyNumberFormat="1" applyBorder="1" applyAlignment="1">
      <alignment horizontal="center"/>
    </xf>
    <xf numFmtId="172" fontId="0" fillId="0" borderId="7" xfId="0" applyNumberFormat="1" applyBorder="1" applyAlignment="1">
      <alignment horizontal="center"/>
    </xf>
    <xf numFmtId="164" fontId="0" fillId="0" borderId="24" xfId="0" applyNumberFormat="1" applyFont="1" applyFill="1" applyBorder="1" applyAlignment="1" applyProtection="1">
      <alignment/>
      <protection/>
    </xf>
    <xf numFmtId="167" fontId="0" fillId="0" borderId="18" xfId="0" applyNumberFormat="1" applyFont="1" applyFill="1" applyBorder="1" applyAlignment="1" applyProtection="1">
      <alignment horizontal="center"/>
      <protection/>
    </xf>
    <xf numFmtId="167" fontId="0" fillId="0" borderId="7" xfId="0" applyNumberFormat="1" applyFont="1" applyFill="1" applyBorder="1" applyAlignment="1" applyProtection="1">
      <alignment horizontal="center"/>
      <protection/>
    </xf>
    <xf numFmtId="164" fontId="8" fillId="0" borderId="41" xfId="0" applyNumberFormat="1" applyFont="1" applyFill="1" applyBorder="1" applyAlignment="1" applyProtection="1">
      <alignment horizontal="center" wrapText="1"/>
      <protection/>
    </xf>
    <xf numFmtId="164" fontId="8" fillId="0" borderId="42" xfId="0" applyNumberFormat="1" applyFont="1" applyFill="1" applyBorder="1" applyAlignment="1" applyProtection="1">
      <alignment horizontal="center" wrapText="1"/>
      <protection/>
    </xf>
    <xf numFmtId="164" fontId="8" fillId="0" borderId="43" xfId="0" applyNumberFormat="1" applyFont="1" applyFill="1" applyBorder="1" applyAlignment="1" applyProtection="1">
      <alignment horizontal="center" wrapText="1"/>
      <protection/>
    </xf>
    <xf numFmtId="164" fontId="0" fillId="0" borderId="11" xfId="0" applyBorder="1" applyAlignment="1">
      <alignment horizontal="center"/>
    </xf>
    <xf numFmtId="164" fontId="0" fillId="0" borderId="15" xfId="0" applyBorder="1" applyAlignment="1">
      <alignment horizontal="center"/>
    </xf>
    <xf numFmtId="164" fontId="8" fillId="0" borderId="44" xfId="0" applyNumberFormat="1" applyFont="1" applyFill="1" applyBorder="1" applyAlignment="1" applyProtection="1">
      <alignment horizontal="center" wrapText="1"/>
      <protection/>
    </xf>
    <xf numFmtId="164" fontId="8" fillId="0" borderId="45" xfId="0" applyNumberFormat="1" applyFont="1" applyFill="1" applyBorder="1" applyAlignment="1" applyProtection="1">
      <alignment horizontal="center" wrapText="1"/>
      <protection/>
    </xf>
    <xf numFmtId="164" fontId="8" fillId="0" borderId="46" xfId="0" applyNumberFormat="1" applyFont="1" applyFill="1" applyBorder="1" applyAlignment="1" applyProtection="1">
      <alignment horizontal="center" wrapText="1"/>
      <protection/>
    </xf>
    <xf numFmtId="166" fontId="0" fillId="0" borderId="1" xfId="0" applyNumberFormat="1" applyFont="1" applyFill="1" applyBorder="1" applyAlignment="1" applyProtection="1">
      <alignment horizontal="center"/>
      <protection/>
    </xf>
    <xf numFmtId="166" fontId="0" fillId="0" borderId="21" xfId="0" applyNumberFormat="1" applyFont="1" applyFill="1" applyBorder="1" applyAlignment="1" applyProtection="1">
      <alignment horizontal="center"/>
      <protection/>
    </xf>
    <xf numFmtId="164" fontId="0" fillId="0" borderId="47" xfId="0" applyBorder="1" applyAlignment="1">
      <alignment horizontal="center"/>
    </xf>
    <xf numFmtId="164" fontId="0" fillId="0" borderId="48" xfId="0" applyBorder="1" applyAlignment="1">
      <alignment horizontal="center"/>
    </xf>
    <xf numFmtId="164" fontId="0" fillId="0" borderId="49" xfId="0" applyBorder="1" applyAlignment="1">
      <alignment horizontal="center"/>
    </xf>
    <xf numFmtId="164" fontId="0" fillId="0" borderId="44" xfId="0" applyBorder="1" applyAlignment="1">
      <alignment horizontal="center"/>
    </xf>
    <xf numFmtId="164" fontId="0" fillId="0" borderId="45" xfId="0" applyBorder="1" applyAlignment="1">
      <alignment horizontal="center"/>
    </xf>
    <xf numFmtId="164" fontId="0" fillId="0" borderId="46" xfId="0" applyBorder="1" applyAlignment="1">
      <alignment horizontal="center"/>
    </xf>
    <xf numFmtId="164" fontId="0" fillId="0" borderId="28" xfId="0" applyFont="1" applyBorder="1" applyAlignment="1">
      <alignment horizontal="center"/>
    </xf>
    <xf numFmtId="166" fontId="0" fillId="0" borderId="18" xfId="0" applyNumberFormat="1" applyFont="1" applyFill="1" applyBorder="1" applyAlignment="1" applyProtection="1">
      <alignment horizontal="center"/>
      <protection/>
    </xf>
    <xf numFmtId="166" fontId="0" fillId="0" borderId="7" xfId="0" applyNumberFormat="1" applyFont="1" applyFill="1" applyBorder="1" applyAlignment="1" applyProtection="1">
      <alignment horizontal="center"/>
      <protection/>
    </xf>
    <xf numFmtId="164" fontId="3" fillId="0" borderId="50" xfId="0" applyNumberFormat="1" applyFont="1" applyFill="1" applyBorder="1" applyAlignment="1" applyProtection="1">
      <alignment horizontal="center"/>
      <protection/>
    </xf>
    <xf numFmtId="164" fontId="3" fillId="0" borderId="51" xfId="0" applyNumberFormat="1" applyFont="1" applyFill="1" applyBorder="1" applyAlignment="1" applyProtection="1">
      <alignment horizontal="center"/>
      <protection/>
    </xf>
    <xf numFmtId="164" fontId="0" fillId="0" borderId="52" xfId="0" applyNumberFormat="1" applyFont="1" applyFill="1" applyBorder="1" applyAlignment="1" applyProtection="1">
      <alignment/>
      <protection/>
    </xf>
    <xf numFmtId="167" fontId="0" fillId="0" borderId="53" xfId="0" applyNumberFormat="1" applyFont="1" applyFill="1" applyBorder="1" applyAlignment="1" applyProtection="1">
      <alignment horizontal="center"/>
      <protection/>
    </xf>
    <xf numFmtId="164" fontId="0" fillId="0" borderId="54" xfId="0" applyNumberFormat="1" applyFont="1" applyFill="1" applyBorder="1" applyAlignment="1" applyProtection="1">
      <alignment/>
      <protection/>
    </xf>
    <xf numFmtId="167" fontId="0" fillId="0" borderId="55"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right"/>
      <protection/>
    </xf>
    <xf numFmtId="164" fontId="0" fillId="0" borderId="0" xfId="0" applyAlignment="1">
      <alignment horizontal="right"/>
    </xf>
    <xf numFmtId="164" fontId="0" fillId="0" borderId="0" xfId="0" applyNumberFormat="1" applyAlignment="1">
      <alignment/>
    </xf>
    <xf numFmtId="164" fontId="0" fillId="0" borderId="0" xfId="0" applyFont="1" applyAlignment="1">
      <alignment horizontal="right"/>
    </xf>
    <xf numFmtId="169" fontId="0" fillId="0" borderId="0" xfId="0" applyNumberFormat="1" applyFont="1" applyFill="1" applyBorder="1" applyAlignment="1" applyProtection="1">
      <alignment/>
      <protection/>
    </xf>
    <xf numFmtId="169" fontId="3" fillId="0" borderId="0" xfId="0" applyNumberFormat="1" applyFont="1" applyFill="1" applyBorder="1" applyAlignment="1" applyProtection="1">
      <alignment horizontal="left"/>
      <protection/>
    </xf>
    <xf numFmtId="164" fontId="3" fillId="0" borderId="0" xfId="0" applyNumberFormat="1" applyFont="1" applyFill="1" applyBorder="1" applyAlignment="1" applyProtection="1">
      <alignment horizontal="center"/>
      <protection/>
    </xf>
    <xf numFmtId="169" fontId="0" fillId="0" borderId="0" xfId="0" applyNumberFormat="1" applyFont="1" applyFill="1" applyBorder="1" applyAlignment="1" applyProtection="1">
      <alignment horizontal="left"/>
      <protection/>
    </xf>
    <xf numFmtId="173" fontId="0"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protection/>
    </xf>
    <xf numFmtId="175" fontId="0" fillId="0" borderId="0"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6"/>
  <sheetViews>
    <sheetView showGridLines="0" tabSelected="1" workbookViewId="0" topLeftCell="A1">
      <selection activeCell="B1" sqref="B1"/>
    </sheetView>
  </sheetViews>
  <sheetFormatPr defaultColWidth="9.140625" defaultRowHeight="12.75"/>
  <cols>
    <col min="1" max="1" width="2.57421875" style="1" customWidth="1"/>
    <col min="2" max="8" width="9.00390625" style="1" customWidth="1"/>
    <col min="9" max="9" width="8.140625" style="1" customWidth="1"/>
    <col min="10" max="10" width="5.140625" style="1" customWidth="1"/>
    <col min="11" max="11" width="10.7109375" style="1" customWidth="1"/>
    <col min="12" max="13" width="9.140625" style="1" customWidth="1"/>
    <col min="14" max="14" width="9.28125" style="1" customWidth="1"/>
    <col min="15" max="15" width="15.57421875" style="1" customWidth="1"/>
    <col min="16" max="16" width="7.140625" style="1" customWidth="1"/>
    <col min="17" max="17" width="12.28125" style="1" customWidth="1"/>
    <col min="18" max="18" width="5.140625" style="1" customWidth="1"/>
    <col min="19" max="19" width="11.00390625" style="1" customWidth="1"/>
    <col min="20" max="20" width="4.7109375" style="1" customWidth="1"/>
    <col min="21" max="37" width="3.28125" style="1" customWidth="1"/>
    <col min="38" max="16384" width="9.140625" style="1" customWidth="1"/>
  </cols>
  <sheetData>
    <row r="1" spans="2:13" ht="17.25">
      <c r="B1" s="1" t="s">
        <v>0</v>
      </c>
      <c r="E1" s="2"/>
      <c r="F1" s="2"/>
      <c r="G1" s="2"/>
      <c r="H1" s="2"/>
      <c r="I1" s="2"/>
      <c r="J1" s="2"/>
      <c r="K1" s="2"/>
      <c r="L1" s="2"/>
      <c r="M1" s="2"/>
    </row>
    <row r="2" spans="2:15" ht="19.5">
      <c r="B2" s="2"/>
      <c r="C2" s="3" t="s">
        <v>1</v>
      </c>
      <c r="D2" s="2"/>
      <c r="E2" s="2"/>
      <c r="F2" s="2"/>
      <c r="G2" s="2"/>
      <c r="H2" s="2"/>
      <c r="I2" s="2"/>
      <c r="J2" s="2"/>
      <c r="K2" s="2"/>
      <c r="L2" s="2"/>
      <c r="M2" s="2"/>
      <c r="O2" s="4" t="s">
        <v>2</v>
      </c>
    </row>
    <row r="3" spans="2:13" ht="12.75" customHeight="1">
      <c r="B3" s="5"/>
      <c r="C3" s="1" t="s">
        <v>3</v>
      </c>
      <c r="E3" s="2"/>
      <c r="F3" s="2"/>
      <c r="G3" s="2"/>
      <c r="H3" s="2"/>
      <c r="I3" s="2"/>
      <c r="J3" s="2"/>
      <c r="K3" s="2"/>
      <c r="L3" s="2"/>
      <c r="M3" s="2"/>
    </row>
    <row r="4" spans="2:13" ht="12.75" customHeight="1">
      <c r="B4" s="6"/>
      <c r="C4" s="1" t="s">
        <v>4</v>
      </c>
      <c r="E4" s="2"/>
      <c r="F4" s="2"/>
      <c r="G4" s="2"/>
      <c r="H4" s="2"/>
      <c r="I4" s="2"/>
      <c r="J4" s="2"/>
      <c r="K4" s="2"/>
      <c r="L4" s="2"/>
      <c r="M4" s="2"/>
    </row>
    <row r="5" ht="12.75" customHeight="1"/>
    <row r="6" spans="2:20" ht="12.75" customHeight="1">
      <c r="B6" s="7" t="s">
        <v>5</v>
      </c>
      <c r="C6" s="8"/>
      <c r="D6" s="9" t="s">
        <v>6</v>
      </c>
      <c r="E6" s="1">
        <f>IF(D6="kg","",IF(D6="lb","","bad unit"))</f>
      </c>
      <c r="F6"/>
      <c r="G6"/>
      <c r="M6" s="10" t="s">
        <v>7</v>
      </c>
      <c r="N6" s="10"/>
      <c r="O6" s="10"/>
      <c r="P6" s="10"/>
      <c r="Q6" s="10"/>
      <c r="R6" s="10"/>
      <c r="S6" s="10"/>
      <c r="T6" s="10"/>
    </row>
    <row r="7" spans="2:20" ht="12.75" customHeight="1">
      <c r="B7" s="11" t="s">
        <v>8</v>
      </c>
      <c r="C7" s="12"/>
      <c r="D7" s="13" t="s">
        <v>9</v>
      </c>
      <c r="E7" s="1">
        <f>IF(D7="l","",IF(D7="qt","",IF(D7="gal","","bad unit")))</f>
      </c>
      <c r="M7" s="10"/>
      <c r="N7" s="10"/>
      <c r="O7" s="10"/>
      <c r="P7" s="10"/>
      <c r="Q7" s="10"/>
      <c r="R7" s="10"/>
      <c r="S7" s="10"/>
      <c r="T7" s="10"/>
    </row>
    <row r="8" spans="2:7" ht="12.75" customHeight="1">
      <c r="B8" s="14"/>
      <c r="C8" s="14"/>
      <c r="D8" s="14"/>
      <c r="E8" s="14"/>
      <c r="F8" s="14"/>
      <c r="G8" s="14"/>
    </row>
    <row r="9" spans="2:23" ht="15" customHeight="1">
      <c r="B9" s="15"/>
      <c r="C9" s="16" t="s">
        <v>10</v>
      </c>
      <c r="D9" s="17"/>
      <c r="E9" s="17"/>
      <c r="F9" s="18"/>
      <c r="G9" s="18"/>
      <c r="H9" s="18"/>
      <c r="I9" s="18"/>
      <c r="J9" s="19"/>
      <c r="M9" s="20" t="s">
        <v>11</v>
      </c>
      <c r="N9" s="20"/>
      <c r="O9" s="20"/>
      <c r="P9" s="20"/>
      <c r="Q9" s="20"/>
      <c r="R9" s="20"/>
      <c r="S9" s="20"/>
      <c r="T9" s="20"/>
      <c r="U9" s="20"/>
      <c r="V9" s="20"/>
      <c r="W9" s="20"/>
    </row>
    <row r="10" spans="2:23" ht="12.75">
      <c r="B10" s="21"/>
      <c r="C10" s="22" t="s">
        <v>12</v>
      </c>
      <c r="D10" s="22"/>
      <c r="E10" s="5">
        <v>100</v>
      </c>
      <c r="F10" s="22" t="s">
        <v>13</v>
      </c>
      <c r="H10" s="23">
        <f>IF(SUM(H12:H18)=0,0,(H12+H13+H14-H15-H16-H18)/SUM(H12:H18)*50)</f>
        <v>0</v>
      </c>
      <c r="I10" s="24" t="s">
        <v>14</v>
      </c>
      <c r="J10" s="25"/>
      <c r="M10" s="20"/>
      <c r="N10" s="20"/>
      <c r="O10" s="20"/>
      <c r="P10" s="20"/>
      <c r="Q10" s="20"/>
      <c r="R10" s="20"/>
      <c r="S10" s="20"/>
      <c r="T10" s="20"/>
      <c r="U10" s="20"/>
      <c r="V10" s="20"/>
      <c r="W10" s="20"/>
    </row>
    <row r="11" spans="2:23" ht="12.75">
      <c r="B11" s="26"/>
      <c r="C11" s="27" t="s">
        <v>15</v>
      </c>
      <c r="D11" s="27" t="s">
        <v>16</v>
      </c>
      <c r="E11" s="28" t="s">
        <v>17</v>
      </c>
      <c r="F11" s="27" t="s">
        <v>18</v>
      </c>
      <c r="H11" s="29"/>
      <c r="I11" s="29"/>
      <c r="J11" s="30"/>
      <c r="M11" s="20"/>
      <c r="N11" s="20"/>
      <c r="O11" s="20"/>
      <c r="P11" s="20"/>
      <c r="Q11" s="20"/>
      <c r="R11" s="20"/>
      <c r="S11" s="20"/>
      <c r="T11" s="20"/>
      <c r="U11" s="20"/>
      <c r="V11" s="20"/>
      <c r="W11" s="20"/>
    </row>
    <row r="12" spans="2:23" ht="12.75">
      <c r="B12" s="31" t="s">
        <v>19</v>
      </c>
      <c r="C12" s="32">
        <v>0</v>
      </c>
      <c r="D12" s="32">
        <v>0</v>
      </c>
      <c r="E12" s="28" t="s">
        <v>20</v>
      </c>
      <c r="F12" s="33">
        <f>(C12*E$10+D12*(100-E$10))/100</f>
        <v>0</v>
      </c>
      <c r="G12" s="28" t="s">
        <v>21</v>
      </c>
      <c r="H12" s="23">
        <f>F12/7.14</f>
        <v>0</v>
      </c>
      <c r="I12" s="24" t="s">
        <v>22</v>
      </c>
      <c r="J12" s="25"/>
      <c r="M12" s="20"/>
      <c r="N12" s="20"/>
      <c r="O12" s="20"/>
      <c r="P12" s="20"/>
      <c r="Q12" s="20"/>
      <c r="R12" s="20"/>
      <c r="S12" s="20"/>
      <c r="T12" s="20"/>
      <c r="U12" s="20"/>
      <c r="V12" s="20"/>
      <c r="W12" s="20"/>
    </row>
    <row r="13" spans="2:23" ht="12.75">
      <c r="B13" s="34" t="s">
        <v>23</v>
      </c>
      <c r="C13" s="32">
        <v>0</v>
      </c>
      <c r="D13" s="32">
        <v>0</v>
      </c>
      <c r="E13" s="28" t="s">
        <v>20</v>
      </c>
      <c r="F13" s="33">
        <f>(C13*E$10+D13*(100-E$10))/100</f>
        <v>0</v>
      </c>
      <c r="G13" s="28" t="s">
        <v>24</v>
      </c>
      <c r="H13" s="23">
        <f>F13/4.33</f>
        <v>0</v>
      </c>
      <c r="I13" s="24" t="s">
        <v>25</v>
      </c>
      <c r="J13" s="25"/>
      <c r="M13" s="20"/>
      <c r="N13" s="20"/>
      <c r="O13" s="20"/>
      <c r="P13" s="20"/>
      <c r="Q13" s="20"/>
      <c r="R13" s="20"/>
      <c r="S13" s="20"/>
      <c r="T13" s="20"/>
      <c r="U13" s="20"/>
      <c r="V13" s="20"/>
      <c r="W13" s="20"/>
    </row>
    <row r="14" spans="2:23" ht="12.75">
      <c r="B14" s="31" t="s">
        <v>26</v>
      </c>
      <c r="C14" s="32">
        <v>0</v>
      </c>
      <c r="D14" s="32">
        <v>0</v>
      </c>
      <c r="E14" s="28" t="s">
        <v>20</v>
      </c>
      <c r="F14" s="33">
        <f>(C14*E$10+D14*(100-E$10))/100</f>
        <v>0</v>
      </c>
      <c r="G14" s="28" t="s">
        <v>27</v>
      </c>
      <c r="H14" s="23">
        <f>F14/8.19</f>
        <v>0</v>
      </c>
      <c r="I14" s="24" t="s">
        <v>28</v>
      </c>
      <c r="J14" s="25"/>
      <c r="M14" s="20"/>
      <c r="N14" s="20"/>
      <c r="O14" s="20"/>
      <c r="P14" s="20"/>
      <c r="Q14" s="20"/>
      <c r="R14" s="20"/>
      <c r="S14" s="20"/>
      <c r="T14" s="20"/>
      <c r="U14" s="20"/>
      <c r="V14" s="20"/>
      <c r="W14" s="20"/>
    </row>
    <row r="15" spans="2:23" ht="12.75">
      <c r="B15" s="31" t="s">
        <v>29</v>
      </c>
      <c r="C15" s="32">
        <v>0</v>
      </c>
      <c r="D15" s="32">
        <v>0</v>
      </c>
      <c r="E15" s="28" t="s">
        <v>20</v>
      </c>
      <c r="F15" s="33">
        <f>(C15*E$10+D15*(100-E$10))/100</f>
        <v>0</v>
      </c>
      <c r="G15" s="28" t="s">
        <v>30</v>
      </c>
      <c r="H15" s="23">
        <f>F15/17.1</f>
        <v>0</v>
      </c>
      <c r="I15" s="24" t="s">
        <v>31</v>
      </c>
      <c r="J15" s="25"/>
      <c r="M15" s="20"/>
      <c r="N15" s="20"/>
      <c r="O15" s="20"/>
      <c r="P15" s="20"/>
      <c r="Q15" s="20"/>
      <c r="R15" s="20"/>
      <c r="S15" s="20"/>
      <c r="T15" s="20"/>
      <c r="U15" s="20"/>
      <c r="V15" s="20"/>
      <c r="W15" s="20"/>
    </row>
    <row r="16" spans="2:23" ht="12.75">
      <c r="B16" s="31" t="s">
        <v>32</v>
      </c>
      <c r="C16" s="32">
        <v>0</v>
      </c>
      <c r="D16" s="32">
        <v>0</v>
      </c>
      <c r="E16" s="28" t="s">
        <v>20</v>
      </c>
      <c r="F16" s="33">
        <f>(C16*E$10+D16*(100-E$10))/100</f>
        <v>0</v>
      </c>
      <c r="G16" s="28" t="s">
        <v>33</v>
      </c>
      <c r="H16" s="23">
        <f>F16/12.62</f>
        <v>0</v>
      </c>
      <c r="I16" s="24" t="s">
        <v>34</v>
      </c>
      <c r="J16" s="25"/>
      <c r="M16" s="20"/>
      <c r="N16" s="20"/>
      <c r="O16" s="20"/>
      <c r="P16" s="20"/>
      <c r="Q16" s="20"/>
      <c r="R16" s="20"/>
      <c r="S16" s="20"/>
      <c r="T16" s="20"/>
      <c r="U16" s="20"/>
      <c r="V16" s="20"/>
      <c r="W16" s="20"/>
    </row>
    <row r="17" spans="2:23" ht="12.75">
      <c r="B17" s="31" t="s">
        <v>35</v>
      </c>
      <c r="C17" s="32">
        <v>0</v>
      </c>
      <c r="D17" s="32">
        <v>0</v>
      </c>
      <c r="E17" s="28" t="s">
        <v>20</v>
      </c>
      <c r="F17" s="33">
        <f>(C17*E$10+D17*(100-E$10))/100</f>
        <v>0</v>
      </c>
      <c r="G17" s="28" t="s">
        <v>36</v>
      </c>
      <c r="H17" s="35"/>
      <c r="I17" s="36"/>
      <c r="J17" s="30"/>
      <c r="M17" s="20"/>
      <c r="N17" s="20"/>
      <c r="O17" s="20"/>
      <c r="P17" s="20"/>
      <c r="Q17" s="20"/>
      <c r="R17" s="20"/>
      <c r="S17" s="20"/>
      <c r="T17" s="20"/>
      <c r="U17" s="20"/>
      <c r="V17" s="20"/>
      <c r="W17" s="20"/>
    </row>
    <row r="18" spans="2:23" ht="12.75">
      <c r="B18" s="31" t="s">
        <v>37</v>
      </c>
      <c r="C18" s="32">
        <v>0</v>
      </c>
      <c r="D18" s="32">
        <v>0</v>
      </c>
      <c r="E18" s="28" t="s">
        <v>38</v>
      </c>
      <c r="F18" s="33">
        <f>IF(AND(C18=0,D18=0),F17*50/61,(C18*E$10+D18*(100-E$10))/100)</f>
        <v>0</v>
      </c>
      <c r="G18" s="28" t="s">
        <v>39</v>
      </c>
      <c r="H18" s="23">
        <f>F18/17.81</f>
        <v>0</v>
      </c>
      <c r="I18" s="24" t="s">
        <v>40</v>
      </c>
      <c r="J18" s="25"/>
      <c r="M18" s="20"/>
      <c r="N18" s="20"/>
      <c r="O18" s="20"/>
      <c r="P18" s="20"/>
      <c r="Q18" s="20"/>
      <c r="R18" s="20"/>
      <c r="S18" s="20"/>
      <c r="T18" s="20"/>
      <c r="U18" s="20"/>
      <c r="V18" s="20"/>
      <c r="W18" s="20"/>
    </row>
    <row r="19" spans="2:23" ht="12.75">
      <c r="B19" s="37"/>
      <c r="C19" s="14" t="s">
        <v>41</v>
      </c>
      <c r="D19" s="38"/>
      <c r="E19" s="39">
        <f>H19*17.8</f>
        <v>0</v>
      </c>
      <c r="F19" s="40" t="s">
        <v>42</v>
      </c>
      <c r="G19" s="38"/>
      <c r="H19" s="41">
        <f>H18-H12/3.5-H13/7</f>
        <v>0</v>
      </c>
      <c r="I19" s="42" t="s">
        <v>43</v>
      </c>
      <c r="J19" s="43"/>
      <c r="K19" s="44"/>
      <c r="L19" s="44"/>
      <c r="M19" s="20"/>
      <c r="N19" s="20"/>
      <c r="O19" s="20"/>
      <c r="P19" s="20"/>
      <c r="Q19" s="20"/>
      <c r="R19" s="20"/>
      <c r="S19" s="20"/>
      <c r="T19" s="20"/>
      <c r="U19" s="20"/>
      <c r="V19" s="20"/>
      <c r="W19" s="20"/>
    </row>
    <row r="20" spans="6:13" ht="12.75">
      <c r="F20" s="44"/>
      <c r="H20" s="44"/>
      <c r="I20" s="44"/>
      <c r="J20" s="44"/>
      <c r="K20" s="44"/>
      <c r="L20" s="44"/>
      <c r="M20" s="44"/>
    </row>
    <row r="21" spans="2:23" ht="15" customHeight="1">
      <c r="B21" s="15"/>
      <c r="C21" s="18"/>
      <c r="D21" s="45"/>
      <c r="E21" s="46" t="s">
        <v>44</v>
      </c>
      <c r="F21" s="18"/>
      <c r="G21" s="18"/>
      <c r="H21" s="47"/>
      <c r="I21" s="47"/>
      <c r="J21" s="48"/>
      <c r="K21" s="44"/>
      <c r="L21" s="44"/>
      <c r="M21" s="49" t="s">
        <v>45</v>
      </c>
      <c r="N21" s="49"/>
      <c r="O21" s="49"/>
      <c r="P21" s="49"/>
      <c r="Q21" s="49"/>
      <c r="R21" s="49"/>
      <c r="S21" s="49"/>
      <c r="T21" s="49"/>
      <c r="U21" s="49"/>
      <c r="V21" s="49"/>
      <c r="W21" s="49"/>
    </row>
    <row r="22" spans="2:23" ht="21.75">
      <c r="B22" s="50" t="s">
        <v>46</v>
      </c>
      <c r="C22" s="51" t="s">
        <v>47</v>
      </c>
      <c r="D22" s="51" t="s">
        <v>48</v>
      </c>
      <c r="E22" s="51" t="s">
        <v>49</v>
      </c>
      <c r="F22" s="51" t="s">
        <v>50</v>
      </c>
      <c r="G22" s="51" t="s">
        <v>51</v>
      </c>
      <c r="H22" s="51" t="s">
        <v>52</v>
      </c>
      <c r="I22" s="51" t="s">
        <v>53</v>
      </c>
      <c r="J22" s="30"/>
      <c r="M22" s="49"/>
      <c r="N22" s="49"/>
      <c r="O22" s="49"/>
      <c r="P22" s="49"/>
      <c r="Q22" s="49"/>
      <c r="R22" s="49"/>
      <c r="S22" s="49"/>
      <c r="T22" s="49"/>
      <c r="U22" s="49"/>
      <c r="V22" s="49"/>
      <c r="W22" s="49"/>
    </row>
    <row r="23" spans="2:23" ht="21.75">
      <c r="B23" s="50" t="s">
        <v>54</v>
      </c>
      <c r="C23" s="51" t="s">
        <v>55</v>
      </c>
      <c r="D23" s="28" t="s">
        <v>56</v>
      </c>
      <c r="E23" s="51" t="s">
        <v>57</v>
      </c>
      <c r="F23" s="51" t="s">
        <v>58</v>
      </c>
      <c r="G23" s="28" t="s">
        <v>59</v>
      </c>
      <c r="H23" s="28" t="s">
        <v>60</v>
      </c>
      <c r="I23" s="51" t="s">
        <v>61</v>
      </c>
      <c r="J23" s="30"/>
      <c r="M23" s="49"/>
      <c r="N23" s="49"/>
      <c r="O23" s="49"/>
      <c r="P23" s="49"/>
      <c r="Q23" s="49"/>
      <c r="R23" s="49"/>
      <c r="S23" s="49"/>
      <c r="T23" s="49"/>
      <c r="U23" s="49"/>
      <c r="V23" s="49"/>
      <c r="W23" s="49"/>
    </row>
    <row r="24" spans="2:23" ht="12.75">
      <c r="B24" s="52" t="s">
        <v>62</v>
      </c>
      <c r="C24" s="53" t="s">
        <v>62</v>
      </c>
      <c r="D24" s="53" t="s">
        <v>62</v>
      </c>
      <c r="E24" s="53" t="s">
        <v>62</v>
      </c>
      <c r="F24" s="53" t="s">
        <v>62</v>
      </c>
      <c r="G24" s="53" t="s">
        <v>62</v>
      </c>
      <c r="H24" s="53" t="s">
        <v>62</v>
      </c>
      <c r="I24" s="53" t="s">
        <v>62</v>
      </c>
      <c r="J24" s="54" t="s">
        <v>62</v>
      </c>
      <c r="M24" s="49"/>
      <c r="N24" s="49"/>
      <c r="O24" s="49"/>
      <c r="P24" s="49"/>
      <c r="Q24" s="49"/>
      <c r="R24" s="49"/>
      <c r="S24" s="49"/>
      <c r="T24" s="49"/>
      <c r="U24" s="49"/>
      <c r="V24" s="49"/>
      <c r="W24" s="49"/>
    </row>
    <row r="25" spans="2:23" ht="12.75">
      <c r="B25" s="55"/>
      <c r="C25" s="32">
        <v>80</v>
      </c>
      <c r="D25" s="32"/>
      <c r="E25" s="32">
        <v>80</v>
      </c>
      <c r="F25" s="32"/>
      <c r="G25" s="32"/>
      <c r="H25" s="32"/>
      <c r="I25" s="32"/>
      <c r="J25" s="56"/>
      <c r="M25" s="49"/>
      <c r="N25" s="49"/>
      <c r="O25" s="49"/>
      <c r="P25" s="49"/>
      <c r="Q25" s="49"/>
      <c r="R25" s="49"/>
      <c r="S25" s="49"/>
      <c r="T25" s="49"/>
      <c r="U25" s="49"/>
      <c r="V25" s="49"/>
      <c r="W25" s="49"/>
    </row>
    <row r="26" spans="2:23" ht="12.75">
      <c r="B26" s="57">
        <f>B25*(40.08/172.19)</f>
        <v>0</v>
      </c>
      <c r="C26" s="58"/>
      <c r="D26" s="58"/>
      <c r="E26" s="59">
        <f>E25*(40.08/147.02)</f>
        <v>21.80927764929941</v>
      </c>
      <c r="F26" s="58"/>
      <c r="G26" s="58"/>
      <c r="H26" s="59">
        <f>H25*(40.08/100.09)/2</f>
        <v>0</v>
      </c>
      <c r="I26" s="59">
        <f>I25*(40.08/100.09)</f>
        <v>0</v>
      </c>
      <c r="J26" s="60">
        <f>SUM(B26:I26,F12)</f>
        <v>21.80927764929941</v>
      </c>
      <c r="M26" s="49"/>
      <c r="N26" s="49"/>
      <c r="O26" s="49"/>
      <c r="P26" s="49"/>
      <c r="Q26" s="49"/>
      <c r="R26" s="49"/>
      <c r="S26" s="49"/>
      <c r="T26" s="49"/>
      <c r="U26" s="49"/>
      <c r="V26" s="49"/>
      <c r="W26" s="49"/>
    </row>
    <row r="27" spans="2:23" ht="12.75">
      <c r="B27" s="61"/>
      <c r="C27" s="59">
        <f>C25*(24.3/246.51)</f>
        <v>7.886089813800657</v>
      </c>
      <c r="D27" s="58"/>
      <c r="E27" s="58"/>
      <c r="F27" s="59">
        <f>F25*(24.3/203.32)</f>
        <v>0</v>
      </c>
      <c r="G27" s="58"/>
      <c r="H27" s="58"/>
      <c r="I27" s="58"/>
      <c r="J27" s="60">
        <f>SUM(B27:I27,F13)</f>
        <v>7.886089813800657</v>
      </c>
      <c r="M27" s="49"/>
      <c r="N27" s="49"/>
      <c r="O27" s="49"/>
      <c r="P27" s="49"/>
      <c r="Q27" s="49"/>
      <c r="R27" s="49"/>
      <c r="S27" s="49"/>
      <c r="T27" s="49"/>
      <c r="U27" s="49"/>
      <c r="V27" s="49"/>
      <c r="W27" s="49"/>
    </row>
    <row r="28" spans="2:23" ht="12.75">
      <c r="B28" s="61"/>
      <c r="C28" s="58"/>
      <c r="D28" s="59">
        <f>D25*(23/58.44)</f>
        <v>0</v>
      </c>
      <c r="E28" s="58"/>
      <c r="F28" s="58"/>
      <c r="G28" s="59">
        <f>G25*(23/84)</f>
        <v>0</v>
      </c>
      <c r="H28" s="58"/>
      <c r="I28" s="58"/>
      <c r="J28" s="60">
        <f>SUM(B28:I28,F14)</f>
        <v>0</v>
      </c>
      <c r="M28" s="49"/>
      <c r="N28" s="49"/>
      <c r="O28" s="49"/>
      <c r="P28" s="49"/>
      <c r="Q28" s="49"/>
      <c r="R28" s="49"/>
      <c r="S28" s="49"/>
      <c r="T28" s="49"/>
      <c r="U28" s="49"/>
      <c r="V28" s="49"/>
      <c r="W28" s="49"/>
    </row>
    <row r="29" spans="2:23" ht="12.75">
      <c r="B29" s="59">
        <f>B25*(96.07/172.19)</f>
        <v>0</v>
      </c>
      <c r="C29" s="59">
        <f>C25*(96.07/246.51)</f>
        <v>31.177639852338647</v>
      </c>
      <c r="D29" s="58"/>
      <c r="E29" s="58"/>
      <c r="F29" s="58"/>
      <c r="G29" s="58"/>
      <c r="H29" s="58"/>
      <c r="I29" s="58"/>
      <c r="J29" s="60">
        <f>SUM(B29:I29,F15)</f>
        <v>31.177639852338647</v>
      </c>
      <c r="M29" s="49"/>
      <c r="N29" s="49"/>
      <c r="O29" s="49"/>
      <c r="P29" s="49"/>
      <c r="Q29" s="49"/>
      <c r="R29" s="49"/>
      <c r="S29" s="49"/>
      <c r="T29" s="49"/>
      <c r="U29" s="49"/>
      <c r="V29" s="49"/>
      <c r="W29" s="49"/>
    </row>
    <row r="30" spans="2:23" ht="12.75">
      <c r="B30" s="61"/>
      <c r="C30" s="58"/>
      <c r="D30" s="59">
        <f>D25*(35.45/58.44)</f>
        <v>0</v>
      </c>
      <c r="E30" s="59">
        <f>E25*(70.9/147.02)</f>
        <v>38.5797850632567</v>
      </c>
      <c r="F30" s="59">
        <f>F25*(70.9/203.32)</f>
        <v>0</v>
      </c>
      <c r="G30" s="58"/>
      <c r="H30" s="58"/>
      <c r="I30" s="58"/>
      <c r="J30" s="60">
        <f>SUM(B30:I30,F16)</f>
        <v>38.5797850632567</v>
      </c>
      <c r="M30" s="49"/>
      <c r="N30" s="49"/>
      <c r="O30" s="49"/>
      <c r="P30" s="49"/>
      <c r="Q30" s="49"/>
      <c r="R30" s="49"/>
      <c r="S30" s="49"/>
      <c r="T30" s="49"/>
      <c r="U30" s="49"/>
      <c r="V30" s="49"/>
      <c r="W30" s="49"/>
    </row>
    <row r="31" spans="2:23" ht="12.75">
      <c r="B31" s="62"/>
      <c r="C31" s="63"/>
      <c r="D31" s="63"/>
      <c r="E31" s="63"/>
      <c r="F31" s="63"/>
      <c r="G31" s="59">
        <f>G25*(61/84)</f>
        <v>0</v>
      </c>
      <c r="H31" s="59">
        <f>1*H25*(61/100.09)</f>
        <v>0</v>
      </c>
      <c r="I31" s="59">
        <f>I25*(61/100.09)*2</f>
        <v>0</v>
      </c>
      <c r="J31" s="60">
        <f>SUM(B31:I31,F17)</f>
        <v>0</v>
      </c>
      <c r="M31" s="49"/>
      <c r="N31" s="49"/>
      <c r="O31" s="49"/>
      <c r="P31" s="49"/>
      <c r="Q31" s="49"/>
      <c r="R31" s="49"/>
      <c r="S31" s="49"/>
      <c r="T31" s="49"/>
      <c r="U31" s="49"/>
      <c r="V31" s="49"/>
      <c r="W31" s="49"/>
    </row>
    <row r="32" spans="2:23" ht="12.75">
      <c r="B32" s="64" t="s">
        <v>63</v>
      </c>
      <c r="C32" s="65" t="e">
        <f>C45</f>
        <v>#DIV/0!</v>
      </c>
      <c r="D32" s="66"/>
      <c r="E32" s="67" t="s">
        <v>64</v>
      </c>
      <c r="F32" s="14"/>
      <c r="G32" s="68">
        <f>C44</f>
        <v>-20.176972442357506</v>
      </c>
      <c r="H32" s="69" t="s">
        <v>65</v>
      </c>
      <c r="I32" s="69"/>
      <c r="J32" s="70">
        <f>F44</f>
        <v>-1.1329013162469124</v>
      </c>
      <c r="M32" s="49"/>
      <c r="N32" s="49"/>
      <c r="O32" s="49"/>
      <c r="P32" s="49"/>
      <c r="Q32" s="49"/>
      <c r="R32" s="49"/>
      <c r="S32" s="49"/>
      <c r="T32" s="49"/>
      <c r="U32" s="49"/>
      <c r="V32" s="49"/>
      <c r="W32" s="49"/>
    </row>
    <row r="33" spans="2:9" ht="12.75">
      <c r="B33" s="71"/>
      <c r="C33" s="71"/>
      <c r="D33" s="71"/>
      <c r="E33" s="71"/>
      <c r="F33" s="71"/>
      <c r="G33" s="71"/>
      <c r="H33" s="71"/>
      <c r="I33" s="71"/>
    </row>
    <row r="34" spans="2:23" ht="15" customHeight="1">
      <c r="B34" s="72"/>
      <c r="C34" s="16" t="s">
        <v>66</v>
      </c>
      <c r="D34" s="73"/>
      <c r="E34" s="73"/>
      <c r="F34" s="73"/>
      <c r="G34" s="73"/>
      <c r="H34" s="73"/>
      <c r="I34" s="73"/>
      <c r="J34" s="19"/>
      <c r="M34" s="20" t="s">
        <v>67</v>
      </c>
      <c r="N34" s="20"/>
      <c r="O34" s="20"/>
      <c r="P34" s="20"/>
      <c r="Q34" s="20"/>
      <c r="R34" s="20"/>
      <c r="S34" s="20"/>
      <c r="T34" s="20"/>
      <c r="U34" s="20"/>
      <c r="V34" s="20"/>
      <c r="W34" s="20"/>
    </row>
    <row r="35" spans="2:23" ht="12.75">
      <c r="B35" s="74" t="s">
        <v>68</v>
      </c>
      <c r="D35" s="4"/>
      <c r="E35" s="4"/>
      <c r="F35" s="4"/>
      <c r="G35" s="4"/>
      <c r="H35" s="4"/>
      <c r="I35" s="4"/>
      <c r="J35" s="30"/>
      <c r="M35" s="20"/>
      <c r="N35" s="20"/>
      <c r="O35" s="20"/>
      <c r="P35" s="20"/>
      <c r="Q35" s="20"/>
      <c r="R35" s="20"/>
      <c r="S35" s="20"/>
      <c r="T35" s="20"/>
      <c r="U35" s="20"/>
      <c r="V35" s="20"/>
      <c r="W35" s="20"/>
    </row>
    <row r="36" spans="2:23" ht="12.75">
      <c r="B36" s="75" t="s">
        <v>69</v>
      </c>
      <c r="C36" s="76">
        <f>J26</f>
        <v>21.80927764929941</v>
      </c>
      <c r="D36" s="27" t="s">
        <v>21</v>
      </c>
      <c r="E36"/>
      <c r="F36" s="77">
        <f>C36/7.14</f>
        <v>3.054520679173587</v>
      </c>
      <c r="G36" s="36" t="s">
        <v>22</v>
      </c>
      <c r="H36" s="78">
        <f>C36/20</f>
        <v>1.0904638824649706</v>
      </c>
      <c r="I36" s="36" t="s">
        <v>70</v>
      </c>
      <c r="J36" s="79"/>
      <c r="M36" s="20"/>
      <c r="N36" s="20"/>
      <c r="O36" s="20"/>
      <c r="P36" s="20"/>
      <c r="Q36" s="20"/>
      <c r="R36" s="20"/>
      <c r="S36" s="20"/>
      <c r="T36" s="20"/>
      <c r="U36" s="20"/>
      <c r="V36" s="20"/>
      <c r="W36" s="20"/>
    </row>
    <row r="37" spans="2:23" ht="12.75">
      <c r="B37" s="75" t="s">
        <v>71</v>
      </c>
      <c r="C37" s="76">
        <f>J27</f>
        <v>7.886089813800657</v>
      </c>
      <c r="D37" s="27" t="s">
        <v>24</v>
      </c>
      <c r="E37"/>
      <c r="F37" s="77">
        <f>C37/4.33</f>
        <v>1.821267855381214</v>
      </c>
      <c r="G37" s="36" t="s">
        <v>25</v>
      </c>
      <c r="H37" s="78">
        <f>C37/12.15</f>
        <v>0.6490608900247454</v>
      </c>
      <c r="I37" s="36" t="s">
        <v>72</v>
      </c>
      <c r="J37" s="79"/>
      <c r="M37" s="20"/>
      <c r="N37" s="20"/>
      <c r="O37" s="20"/>
      <c r="P37" s="20"/>
      <c r="Q37" s="20"/>
      <c r="R37" s="20"/>
      <c r="S37" s="20"/>
      <c r="T37" s="20"/>
      <c r="U37" s="20"/>
      <c r="V37" s="20"/>
      <c r="W37" s="20"/>
    </row>
    <row r="38" spans="2:23" ht="12.75">
      <c r="B38" s="75" t="s">
        <v>73</v>
      </c>
      <c r="C38" s="76">
        <f>J28</f>
        <v>0</v>
      </c>
      <c r="D38" s="27" t="s">
        <v>27</v>
      </c>
      <c r="E38"/>
      <c r="F38" s="77">
        <f>C38/8.19</f>
        <v>0</v>
      </c>
      <c r="G38" s="36" t="s">
        <v>28</v>
      </c>
      <c r="H38" s="29"/>
      <c r="I38" s="36"/>
      <c r="J38" s="79"/>
      <c r="M38" s="20"/>
      <c r="N38" s="20"/>
      <c r="O38" s="20"/>
      <c r="P38" s="20"/>
      <c r="Q38" s="20"/>
      <c r="R38" s="20"/>
      <c r="S38" s="20"/>
      <c r="T38" s="20"/>
      <c r="U38" s="20"/>
      <c r="V38" s="20"/>
      <c r="W38" s="20"/>
    </row>
    <row r="39" spans="2:23" ht="12.75">
      <c r="B39" s="75" t="s">
        <v>74</v>
      </c>
      <c r="C39" s="76">
        <f>J29</f>
        <v>31.177639852338647</v>
      </c>
      <c r="D39" s="27" t="s">
        <v>30</v>
      </c>
      <c r="E39"/>
      <c r="F39" s="77">
        <f>C39/17.1</f>
        <v>1.8232537925344237</v>
      </c>
      <c r="G39" s="36" t="s">
        <v>31</v>
      </c>
      <c r="H39" s="29"/>
      <c r="I39" s="36"/>
      <c r="J39" s="79"/>
      <c r="M39" s="20"/>
      <c r="N39" s="20"/>
      <c r="O39" s="20"/>
      <c r="P39" s="20"/>
      <c r="Q39" s="20"/>
      <c r="R39" s="20"/>
      <c r="S39" s="20"/>
      <c r="T39" s="20"/>
      <c r="U39" s="20"/>
      <c r="V39" s="20"/>
      <c r="W39" s="20"/>
    </row>
    <row r="40" spans="2:23" ht="12.75">
      <c r="B40" s="75" t="s">
        <v>75</v>
      </c>
      <c r="C40" s="76">
        <f>J30</f>
        <v>38.5797850632567</v>
      </c>
      <c r="D40" s="27" t="s">
        <v>33</v>
      </c>
      <c r="E40"/>
      <c r="F40" s="77">
        <f>C40/12.62</f>
        <v>3.057035266502116</v>
      </c>
      <c r="G40" s="36" t="s">
        <v>34</v>
      </c>
      <c r="H40" s="29"/>
      <c r="I40" s="36"/>
      <c r="J40" s="79"/>
      <c r="M40" s="20"/>
      <c r="N40" s="20"/>
      <c r="O40" s="20"/>
      <c r="P40" s="20"/>
      <c r="Q40" s="20"/>
      <c r="R40" s="20"/>
      <c r="S40" s="20"/>
      <c r="T40" s="20"/>
      <c r="U40" s="20"/>
      <c r="V40" s="20"/>
      <c r="W40" s="20"/>
    </row>
    <row r="41" spans="2:23" ht="12.75">
      <c r="B41" s="80"/>
      <c r="C41" s="76">
        <f>J31</f>
        <v>0</v>
      </c>
      <c r="D41" s="27" t="s">
        <v>36</v>
      </c>
      <c r="E41"/>
      <c r="F41" s="81"/>
      <c r="G41" s="36"/>
      <c r="H41" s="29"/>
      <c r="I41" s="36"/>
      <c r="J41" s="79"/>
      <c r="M41" s="20"/>
      <c r="N41" s="20"/>
      <c r="O41" s="20"/>
      <c r="P41" s="20"/>
      <c r="Q41" s="20"/>
      <c r="R41" s="20"/>
      <c r="S41" s="20"/>
      <c r="T41" s="20"/>
      <c r="U41" s="20"/>
      <c r="V41" s="20"/>
      <c r="W41" s="20"/>
    </row>
    <row r="42" spans="2:23" ht="12.75">
      <c r="B42" s="80"/>
      <c r="C42" s="76">
        <f>C41*50/61</f>
        <v>0</v>
      </c>
      <c r="D42" s="27" t="s">
        <v>76</v>
      </c>
      <c r="E42"/>
      <c r="F42" s="77">
        <f>C42/17.81</f>
        <v>0</v>
      </c>
      <c r="G42" s="36" t="s">
        <v>40</v>
      </c>
      <c r="H42" s="78">
        <f>C42/50</f>
        <v>0</v>
      </c>
      <c r="I42" s="36" t="s">
        <v>77</v>
      </c>
      <c r="J42" s="79"/>
      <c r="M42" s="20"/>
      <c r="N42" s="20"/>
      <c r="O42" s="20"/>
      <c r="P42" s="20"/>
      <c r="Q42" s="20"/>
      <c r="R42" s="20"/>
      <c r="S42" s="20"/>
      <c r="T42" s="20"/>
      <c r="U42" s="20"/>
      <c r="V42" s="20"/>
      <c r="W42" s="20"/>
    </row>
    <row r="43" spans="2:23" ht="12.75">
      <c r="B43" s="21"/>
      <c r="C43"/>
      <c r="D43"/>
      <c r="E43"/>
      <c r="F43" s="82"/>
      <c r="G43" s="82"/>
      <c r="H43" s="29"/>
      <c r="I43" s="36"/>
      <c r="J43" s="79"/>
      <c r="M43" s="20"/>
      <c r="N43" s="20"/>
      <c r="O43" s="20"/>
      <c r="P43" s="20"/>
      <c r="Q43" s="20"/>
      <c r="R43" s="20"/>
      <c r="S43" s="20"/>
      <c r="T43" s="20"/>
      <c r="U43" s="20"/>
      <c r="V43" s="20"/>
      <c r="W43" s="20"/>
    </row>
    <row r="44" spans="2:23" ht="12.75">
      <c r="B44" s="83" t="s">
        <v>78</v>
      </c>
      <c r="C44" s="84">
        <f>F44*17.81</f>
        <v>-20.176972442357506</v>
      </c>
      <c r="D44" s="27" t="s">
        <v>76</v>
      </c>
      <c r="E44" s="85"/>
      <c r="F44" s="86">
        <f>F42-(F36+0.5*F37)/3.5</f>
        <v>-1.1329013162469124</v>
      </c>
      <c r="G44" s="36" t="s">
        <v>43</v>
      </c>
      <c r="H44" s="78">
        <f>H42-(H36+0.5*H37)/3.5</f>
        <v>-0.40428409356495526</v>
      </c>
      <c r="I44" s="36" t="s">
        <v>77</v>
      </c>
      <c r="J44" s="79"/>
      <c r="M44" s="20"/>
      <c r="N44" s="20"/>
      <c r="O44" s="20"/>
      <c r="P44" s="20"/>
      <c r="Q44" s="20"/>
      <c r="R44" s="20"/>
      <c r="S44" s="20"/>
      <c r="T44" s="20"/>
      <c r="U44" s="20"/>
      <c r="V44" s="20"/>
      <c r="W44" s="20"/>
    </row>
    <row r="45" spans="2:23" ht="12.75">
      <c r="B45" s="87" t="s">
        <v>63</v>
      </c>
      <c r="C45" s="88" t="e">
        <f>H44*'detailed calculations'!B10</f>
        <v>#DIV/0!</v>
      </c>
      <c r="D45" s="89"/>
      <c r="E45" s="90"/>
      <c r="F45" s="14"/>
      <c r="G45" s="14"/>
      <c r="H45" s="14"/>
      <c r="I45" s="14"/>
      <c r="J45" s="91"/>
      <c r="M45" s="20"/>
      <c r="N45" s="20"/>
      <c r="O45" s="20"/>
      <c r="P45" s="20"/>
      <c r="Q45" s="20"/>
      <c r="R45" s="20"/>
      <c r="S45" s="20"/>
      <c r="T45" s="20"/>
      <c r="U45" s="20"/>
      <c r="V45" s="20"/>
      <c r="W45" s="20"/>
    </row>
    <row r="47" spans="2:23" ht="15" customHeight="1">
      <c r="B47" s="7"/>
      <c r="C47" s="92" t="s">
        <v>79</v>
      </c>
      <c r="D47" s="93"/>
      <c r="E47" s="94"/>
      <c r="G47" s="95"/>
      <c r="H47" s="92" t="s">
        <v>80</v>
      </c>
      <c r="I47" s="93"/>
      <c r="J47" s="94"/>
      <c r="M47" s="20" t="s">
        <v>81</v>
      </c>
      <c r="N47" s="20"/>
      <c r="O47" s="20"/>
      <c r="P47" s="20"/>
      <c r="Q47" s="20"/>
      <c r="R47" s="20"/>
      <c r="S47" s="20"/>
      <c r="T47" s="20"/>
      <c r="U47" s="20"/>
      <c r="V47" s="20"/>
      <c r="W47" s="20"/>
    </row>
    <row r="48" spans="2:23" ht="12.75">
      <c r="B48" s="96" t="s">
        <v>82</v>
      </c>
      <c r="C48" s="97"/>
      <c r="D48" s="5"/>
      <c r="E48" s="98" t="str">
        <f>D7</f>
        <v>l</v>
      </c>
      <c r="G48" s="96" t="s">
        <v>83</v>
      </c>
      <c r="H48" s="97"/>
      <c r="I48" s="5"/>
      <c r="J48" s="98" t="str">
        <f>D6</f>
        <v>kg</v>
      </c>
      <c r="M48" s="20"/>
      <c r="N48" s="20"/>
      <c r="O48" s="20"/>
      <c r="P48" s="20"/>
      <c r="Q48" s="20"/>
      <c r="R48" s="20"/>
      <c r="S48" s="20"/>
      <c r="T48" s="20"/>
      <c r="U48" s="20"/>
      <c r="V48" s="20"/>
      <c r="W48" s="20"/>
    </row>
    <row r="49" spans="2:23" ht="12.75">
      <c r="B49" s="96" t="s">
        <v>84</v>
      </c>
      <c r="C49" s="97"/>
      <c r="D49" s="5"/>
      <c r="E49" s="98" t="str">
        <f>D7</f>
        <v>l</v>
      </c>
      <c r="G49" s="11" t="s">
        <v>85</v>
      </c>
      <c r="H49" s="12"/>
      <c r="I49" s="99" t="e">
        <f>IF(J49="l/kg",'detailed calculations'!B8,'detailed calculations'!B8/2.11)</f>
        <v>#DIV/0!</v>
      </c>
      <c r="J49" s="100" t="str">
        <f>IF(J48="lb","qt/lb","l/kg")</f>
        <v>l/kg</v>
      </c>
      <c r="M49" s="20"/>
      <c r="N49" s="20"/>
      <c r="O49" s="20"/>
      <c r="P49" s="20"/>
      <c r="Q49" s="20"/>
      <c r="R49" s="20"/>
      <c r="S49" s="20"/>
      <c r="T49" s="20"/>
      <c r="U49" s="20"/>
      <c r="V49" s="20"/>
      <c r="W49" s="20"/>
    </row>
    <row r="50" spans="2:23" ht="12.75">
      <c r="B50" s="11" t="s">
        <v>86</v>
      </c>
      <c r="C50" s="12"/>
      <c r="D50" s="99">
        <f>D48-D49</f>
        <v>0</v>
      </c>
      <c r="E50" s="100" t="str">
        <f>D7</f>
        <v>l</v>
      </c>
      <c r="M50" s="20"/>
      <c r="N50" s="20"/>
      <c r="O50" s="20"/>
      <c r="P50" s="20"/>
      <c r="Q50" s="20"/>
      <c r="R50" s="20"/>
      <c r="S50" s="20"/>
      <c r="T50" s="20"/>
      <c r="U50" s="20"/>
      <c r="V50" s="20"/>
      <c r="W50" s="20"/>
    </row>
    <row r="52" spans="2:5" ht="12.75">
      <c r="B52"/>
      <c r="C52"/>
      <c r="D52"/>
      <c r="E52"/>
    </row>
    <row r="53" spans="2:23" ht="15" customHeight="1">
      <c r="B53" s="7"/>
      <c r="C53" s="92" t="s">
        <v>87</v>
      </c>
      <c r="D53" s="93"/>
      <c r="E53" s="93"/>
      <c r="F53" s="93"/>
      <c r="G53" s="93"/>
      <c r="H53" s="93"/>
      <c r="I53" s="93"/>
      <c r="J53" s="19"/>
      <c r="M53" s="20" t="s">
        <v>88</v>
      </c>
      <c r="N53" s="20"/>
      <c r="O53" s="20"/>
      <c r="P53" s="20"/>
      <c r="Q53" s="20"/>
      <c r="R53" s="20"/>
      <c r="S53" s="20"/>
      <c r="T53" s="20"/>
      <c r="U53" s="20"/>
      <c r="V53" s="20"/>
      <c r="W53" s="20"/>
    </row>
    <row r="54" spans="2:23" ht="21.75">
      <c r="B54" s="50" t="s">
        <v>46</v>
      </c>
      <c r="C54" s="51" t="s">
        <v>47</v>
      </c>
      <c r="D54" s="51" t="s">
        <v>48</v>
      </c>
      <c r="E54" s="51" t="s">
        <v>49</v>
      </c>
      <c r="F54" s="51" t="s">
        <v>50</v>
      </c>
      <c r="G54" s="51" t="s">
        <v>51</v>
      </c>
      <c r="H54" s="51" t="s">
        <v>52</v>
      </c>
      <c r="I54" s="51" t="s">
        <v>53</v>
      </c>
      <c r="J54" s="101"/>
      <c r="M54" s="20"/>
      <c r="N54" s="20"/>
      <c r="O54" s="20"/>
      <c r="P54" s="20"/>
      <c r="Q54" s="20"/>
      <c r="R54" s="20"/>
      <c r="S54" s="20"/>
      <c r="T54" s="20"/>
      <c r="U54" s="20"/>
      <c r="V54" s="20"/>
      <c r="W54" s="20"/>
    </row>
    <row r="55" spans="2:23" ht="12.75">
      <c r="B55" s="52" t="s">
        <v>89</v>
      </c>
      <c r="C55" s="53" t="s">
        <v>89</v>
      </c>
      <c r="D55" s="53" t="s">
        <v>89</v>
      </c>
      <c r="E55" s="53" t="s">
        <v>89</v>
      </c>
      <c r="F55" s="53" t="s">
        <v>89</v>
      </c>
      <c r="G55" s="53" t="s">
        <v>89</v>
      </c>
      <c r="H55" s="53" t="s">
        <v>89</v>
      </c>
      <c r="I55" s="53" t="s">
        <v>89</v>
      </c>
      <c r="J55" s="102"/>
      <c r="M55" s="20"/>
      <c r="N55" s="20"/>
      <c r="O55" s="20"/>
      <c r="P55" s="20"/>
      <c r="Q55" s="20"/>
      <c r="R55" s="20"/>
      <c r="S55" s="20"/>
      <c r="T55" s="20"/>
      <c r="U55" s="20"/>
      <c r="V55" s="20"/>
      <c r="W55" s="20"/>
    </row>
    <row r="56" spans="2:23" ht="12.75">
      <c r="B56" s="103">
        <f>B25*$D$49/1000</f>
        <v>0</v>
      </c>
      <c r="C56" s="104">
        <f>C25*$D$49/1000</f>
        <v>0</v>
      </c>
      <c r="D56" s="104">
        <f>D25*$D$49/1000</f>
        <v>0</v>
      </c>
      <c r="E56" s="104">
        <f>E25*$D$49/1000</f>
        <v>0</v>
      </c>
      <c r="F56" s="104">
        <f>F25*$D$49/1000</f>
        <v>0</v>
      </c>
      <c r="G56" s="104">
        <f>G25*$D$49/1000</f>
        <v>0</v>
      </c>
      <c r="H56" s="104">
        <f>H25*$D$49/1000</f>
        <v>0</v>
      </c>
      <c r="I56" s="104">
        <f>I25*$D$49/1000</f>
        <v>0</v>
      </c>
      <c r="J56" s="98" t="s">
        <v>90</v>
      </c>
      <c r="M56" s="20"/>
      <c r="N56" s="20"/>
      <c r="O56" s="20"/>
      <c r="P56" s="20"/>
      <c r="Q56" s="20"/>
      <c r="R56" s="20"/>
      <c r="S56" s="20"/>
      <c r="T56" s="20"/>
      <c r="U56" s="20"/>
      <c r="V56" s="20"/>
      <c r="W56" s="20"/>
    </row>
    <row r="57" spans="2:23" ht="12.75">
      <c r="B57" s="103">
        <f>B25*$D$50/1000</f>
        <v>0</v>
      </c>
      <c r="C57" s="104">
        <f>C25*$D$50/1000</f>
        <v>0</v>
      </c>
      <c r="D57" s="104">
        <f>D25*$D$50/1000</f>
        <v>0</v>
      </c>
      <c r="E57" s="104">
        <f>E25*$D$50/1000</f>
        <v>0</v>
      </c>
      <c r="F57" s="104">
        <f>F25*$D$50/1000</f>
        <v>0</v>
      </c>
      <c r="G57" s="104">
        <f>G25*$D$50/1000</f>
        <v>0</v>
      </c>
      <c r="H57" s="104">
        <f>H25*$D$50/1000</f>
        <v>0</v>
      </c>
      <c r="I57" s="104">
        <f>I25*$D$50/1000</f>
        <v>0</v>
      </c>
      <c r="J57" s="98" t="s">
        <v>91</v>
      </c>
      <c r="M57" s="20"/>
      <c r="N57" s="20"/>
      <c r="O57" s="20"/>
      <c r="P57" s="20"/>
      <c r="Q57" s="20"/>
      <c r="R57" s="20"/>
      <c r="S57" s="20"/>
      <c r="T57" s="20"/>
      <c r="U57" s="20"/>
      <c r="V57" s="20"/>
      <c r="W57" s="20"/>
    </row>
    <row r="58" spans="2:23" ht="12.75">
      <c r="B58" s="105">
        <f>SUM(B56:B57)</f>
        <v>0</v>
      </c>
      <c r="C58" s="106">
        <f>SUM(C56:C57)</f>
        <v>0</v>
      </c>
      <c r="D58" s="106">
        <f>SUM(D56:D57)</f>
        <v>0</v>
      </c>
      <c r="E58" s="106">
        <f>SUM(E56:E57)</f>
        <v>0</v>
      </c>
      <c r="F58" s="106">
        <f>SUM(F56:F57)</f>
        <v>0</v>
      </c>
      <c r="G58" s="106">
        <f>SUM(G56:G57)</f>
        <v>0</v>
      </c>
      <c r="H58" s="106">
        <f>SUM(H56:H57)</f>
        <v>0</v>
      </c>
      <c r="I58" s="106">
        <f>SUM(I56:I57)</f>
        <v>0</v>
      </c>
      <c r="J58" s="100" t="s">
        <v>92</v>
      </c>
      <c r="M58" s="20"/>
      <c r="N58" s="20"/>
      <c r="O58" s="20"/>
      <c r="P58" s="20"/>
      <c r="Q58" s="20"/>
      <c r="R58" s="20"/>
      <c r="S58" s="20"/>
      <c r="T58" s="20"/>
      <c r="U58" s="20"/>
      <c r="V58" s="20"/>
      <c r="W58" s="20"/>
    </row>
    <row r="59" spans="2:10" ht="12.75">
      <c r="B59"/>
      <c r="C59"/>
      <c r="D59"/>
      <c r="E59"/>
      <c r="F59"/>
      <c r="G59"/>
      <c r="H59"/>
      <c r="I59"/>
      <c r="J59"/>
    </row>
    <row r="60" spans="2:10" ht="12.75">
      <c r="B60"/>
      <c r="C60"/>
      <c r="D60"/>
      <c r="E60"/>
      <c r="F60"/>
      <c r="G60"/>
      <c r="H60"/>
      <c r="I60"/>
      <c r="J60"/>
    </row>
    <row r="61" spans="2:23" ht="15" customHeight="1">
      <c r="B61" s="107"/>
      <c r="C61" s="108" t="s">
        <v>93</v>
      </c>
      <c r="D61" s="45"/>
      <c r="E61" s="45"/>
      <c r="F61" s="45"/>
      <c r="G61" s="45"/>
      <c r="H61" s="45"/>
      <c r="I61" s="45"/>
      <c r="J61" s="109"/>
      <c r="M61" s="20" t="s">
        <v>94</v>
      </c>
      <c r="N61" s="20"/>
      <c r="O61" s="20"/>
      <c r="P61" s="20"/>
      <c r="Q61" s="20"/>
      <c r="R61" s="20"/>
      <c r="S61" s="20"/>
      <c r="T61" s="20"/>
      <c r="U61" s="20"/>
      <c r="V61" s="20"/>
      <c r="W61" s="20"/>
    </row>
    <row r="62" spans="1:256" ht="12.75">
      <c r="A62"/>
      <c r="B62" s="110"/>
      <c r="C62" s="111" t="s">
        <v>95</v>
      </c>
      <c r="D62" s="112"/>
      <c r="E62" s="113" t="str">
        <f>D7</f>
        <v>l</v>
      </c>
      <c r="F62" s="114"/>
      <c r="G62" s="115"/>
      <c r="H62" s="111" t="s">
        <v>96</v>
      </c>
      <c r="I62" s="116"/>
      <c r="J62" s="117" t="s">
        <v>9</v>
      </c>
      <c r="K62"/>
      <c r="L62"/>
      <c r="M62" s="20"/>
      <c r="N62" s="20"/>
      <c r="O62" s="20"/>
      <c r="P62" s="20"/>
      <c r="Q62" s="20"/>
      <c r="R62" s="20"/>
      <c r="S62" s="20"/>
      <c r="T62" s="20"/>
      <c r="U62" s="20"/>
      <c r="V62" s="20"/>
      <c r="W62" s="20"/>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 r="A63"/>
      <c r="B63" s="110"/>
      <c r="C63" s="111" t="s">
        <v>97</v>
      </c>
      <c r="D63" s="112"/>
      <c r="E63" s="113" t="s">
        <v>89</v>
      </c>
      <c r="F63" s="114"/>
      <c r="G63" s="115"/>
      <c r="H63" s="111" t="s">
        <v>98</v>
      </c>
      <c r="I63" s="116">
        <f>IF(J63="l",'detailed calculations'!B46,IF(J63="qt",'detailed calculations'!B46/0.95,IF(J63="gal",'detailed calculations'!B46/3.79,"bad unit")))</f>
      </c>
      <c r="J63" s="117" t="str">
        <f>D7</f>
        <v>l</v>
      </c>
      <c r="K63"/>
      <c r="L63"/>
      <c r="M63" s="20"/>
      <c r="N63" s="20"/>
      <c r="O63" s="20"/>
      <c r="P63" s="20"/>
      <c r="Q63" s="20"/>
      <c r="R63" s="20"/>
      <c r="S63" s="20"/>
      <c r="T63" s="20"/>
      <c r="U63" s="20"/>
      <c r="V63" s="20"/>
      <c r="W63" s="20"/>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c r="B64" s="26"/>
      <c r="C64" t="s">
        <v>99</v>
      </c>
      <c r="D64"/>
      <c r="E64"/>
      <c r="F64" s="114"/>
      <c r="G64" s="115"/>
      <c r="H64" s="111" t="s">
        <v>100</v>
      </c>
      <c r="I64" s="116">
        <f>IF(J64="l",'detailed calculations'!B47,IF(J64="qt",'detailed calculations'!B47/0.95,IF(J64="gal",'detailed calculations'!B47/3.79,"bad unit")))</f>
      </c>
      <c r="J64" s="117" t="str">
        <f>D7</f>
        <v>l</v>
      </c>
      <c r="K64"/>
      <c r="L64"/>
      <c r="M64" s="20"/>
      <c r="N64" s="20"/>
      <c r="O64" s="20"/>
      <c r="P64" s="20"/>
      <c r="Q64" s="20"/>
      <c r="R64" s="20"/>
      <c r="S64" s="20"/>
      <c r="T64" s="20"/>
      <c r="U64" s="20"/>
      <c r="V64" s="20"/>
      <c r="W64" s="20"/>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c r="B65" s="118"/>
      <c r="C65" s="119" t="s">
        <v>96</v>
      </c>
      <c r="D65" s="120"/>
      <c r="E65" s="40" t="s">
        <v>62</v>
      </c>
      <c r="F65" s="121"/>
      <c r="G65" s="122"/>
      <c r="H65" s="123" t="s">
        <v>101</v>
      </c>
      <c r="I65" s="124">
        <f>IF(J65="l",'detailed calculations'!B48,IF(J65="qt",'detailed calculations'!B48/0.95,IF(J65="gal",'detailed calculations'!B48/3.79,"bad unit")))</f>
      </c>
      <c r="J65" s="125" t="str">
        <f>D7</f>
        <v>l</v>
      </c>
      <c r="K65"/>
      <c r="L65"/>
      <c r="M65" s="20"/>
      <c r="N65" s="20"/>
      <c r="O65" s="20"/>
      <c r="P65" s="20"/>
      <c r="Q65" s="20"/>
      <c r="R65" s="20"/>
      <c r="S65" s="20"/>
      <c r="T65" s="20"/>
      <c r="U65" s="20"/>
      <c r="V65" s="20"/>
      <c r="W65" s="20"/>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126" customFormat="1" ht="10.5">
      <c r="B70" s="126" t="s">
        <v>102</v>
      </c>
    </row>
    <row r="71" ht="12.75">
      <c r="B71" s="1" t="s">
        <v>103</v>
      </c>
    </row>
    <row r="72" spans="1:256"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9" ht="12.75">
      <c r="B74"/>
      <c r="C74"/>
      <c r="D74"/>
      <c r="E74"/>
      <c r="F74"/>
      <c r="G74"/>
      <c r="H74"/>
      <c r="I74"/>
    </row>
    <row r="75" spans="2:9" ht="12.75">
      <c r="B75"/>
      <c r="C75"/>
      <c r="D75"/>
      <c r="E75"/>
      <c r="F75"/>
      <c r="G75"/>
      <c r="H75"/>
      <c r="I75"/>
    </row>
    <row r="76" spans="2:9" ht="12.75">
      <c r="B76"/>
      <c r="C76"/>
      <c r="D76"/>
      <c r="E76"/>
      <c r="F76"/>
      <c r="G76"/>
      <c r="H76"/>
      <c r="I76"/>
    </row>
    <row r="77" spans="2:9" ht="12.75">
      <c r="B77"/>
      <c r="C77"/>
      <c r="D77"/>
      <c r="E77"/>
      <c r="F77"/>
      <c r="G77"/>
      <c r="H77"/>
      <c r="I77"/>
    </row>
    <row r="78" spans="2:9" ht="12.75">
      <c r="B78"/>
      <c r="C78"/>
      <c r="D78"/>
      <c r="E78"/>
      <c r="F78"/>
      <c r="G78"/>
      <c r="H78"/>
      <c r="I78"/>
    </row>
    <row r="79" spans="2:9" ht="12.75">
      <c r="B79"/>
      <c r="C79"/>
      <c r="D79"/>
      <c r="E79"/>
      <c r="F79"/>
      <c r="G79"/>
      <c r="H79"/>
      <c r="I79"/>
    </row>
    <row r="80" spans="2:9" ht="12.75">
      <c r="B80"/>
      <c r="C80"/>
      <c r="D80"/>
      <c r="E80"/>
      <c r="F80"/>
      <c r="G80"/>
      <c r="H80"/>
      <c r="I80"/>
    </row>
    <row r="81" spans="2:9" ht="12.75">
      <c r="B81"/>
      <c r="C81"/>
      <c r="D81"/>
      <c r="E81"/>
      <c r="F81"/>
      <c r="G81"/>
      <c r="H81"/>
      <c r="I81"/>
    </row>
    <row r="82" spans="2:9" ht="12.75">
      <c r="B82"/>
      <c r="C82"/>
      <c r="D82"/>
      <c r="E82"/>
      <c r="F82"/>
      <c r="G82"/>
      <c r="H82"/>
      <c r="I82"/>
    </row>
    <row r="83" spans="1:256"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5" spans="1:256"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sheetData>
  <mergeCells count="7">
    <mergeCell ref="M6:T7"/>
    <mergeCell ref="M9:W19"/>
    <mergeCell ref="M21:W32"/>
    <mergeCell ref="M34:W45"/>
    <mergeCell ref="M47:W50"/>
    <mergeCell ref="M53:W58"/>
    <mergeCell ref="M61:W65"/>
  </mergeCells>
  <printOptions headings="1"/>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2:Q36"/>
  <sheetViews>
    <sheetView showGridLines="0" workbookViewId="0" topLeftCell="A1">
      <selection activeCell="M23" sqref="M23"/>
    </sheetView>
  </sheetViews>
  <sheetFormatPr defaultColWidth="9.140625" defaultRowHeight="12.75"/>
  <cols>
    <col min="1" max="1" width="9.7109375" style="1" customWidth="1"/>
    <col min="2" max="2" width="22.140625" style="1" customWidth="1"/>
    <col min="3" max="3" width="8.7109375" style="1" customWidth="1"/>
    <col min="5" max="5" width="8.00390625" style="1" customWidth="1"/>
    <col min="17" max="17" width="7.57421875" style="127" customWidth="1"/>
  </cols>
  <sheetData>
    <row r="2" ht="19.5">
      <c r="D2" s="128" t="s">
        <v>104</v>
      </c>
    </row>
    <row r="3" spans="2:5" ht="12.75">
      <c r="B3"/>
      <c r="C3"/>
      <c r="E3"/>
    </row>
    <row r="4" spans="2:17" ht="12.75">
      <c r="B4"/>
      <c r="C4"/>
      <c r="E4"/>
      <c r="Q4"/>
    </row>
    <row r="5" spans="2:17" ht="12.75">
      <c r="B5"/>
      <c r="C5"/>
      <c r="E5"/>
      <c r="Q5"/>
    </row>
    <row r="6" spans="2:12" ht="15">
      <c r="B6" s="129" t="s">
        <v>105</v>
      </c>
      <c r="C6" s="130"/>
      <c r="D6" s="130"/>
      <c r="E6" s="131"/>
      <c r="L6" s="132" t="s">
        <v>106</v>
      </c>
    </row>
    <row r="7" spans="2:5" ht="12.75">
      <c r="B7" s="133"/>
      <c r="C7" s="134" t="s">
        <v>107</v>
      </c>
      <c r="D7" s="134" t="s">
        <v>108</v>
      </c>
      <c r="E7" s="135" t="s">
        <v>109</v>
      </c>
    </row>
    <row r="8" spans="2:17" ht="12.75" customHeight="1">
      <c r="B8" s="136"/>
      <c r="C8" s="137">
        <f>calculations!E10/100</f>
        <v>1</v>
      </c>
      <c r="D8" s="137">
        <f>1-C8</f>
        <v>0</v>
      </c>
      <c r="E8" s="135"/>
      <c r="I8" s="138" t="s">
        <v>110</v>
      </c>
      <c r="J8" s="139" t="s">
        <v>111</v>
      </c>
      <c r="K8" s="139" t="s">
        <v>112</v>
      </c>
      <c r="L8" s="139" t="s">
        <v>113</v>
      </c>
      <c r="M8" s="139" t="s">
        <v>114</v>
      </c>
      <c r="N8" s="139" t="s">
        <v>115</v>
      </c>
      <c r="O8" s="139" t="s">
        <v>116</v>
      </c>
      <c r="P8" s="140" t="s">
        <v>117</v>
      </c>
      <c r="Q8" s="140"/>
    </row>
    <row r="9" spans="2:17" ht="12.75">
      <c r="B9" s="141" t="s">
        <v>110</v>
      </c>
      <c r="C9" s="142">
        <f>calculations!C12</f>
        <v>0</v>
      </c>
      <c r="D9" s="142">
        <f>calculations!D12</f>
        <v>0</v>
      </c>
      <c r="E9" s="143">
        <f>calculations!F12</f>
        <v>0</v>
      </c>
      <c r="I9" s="138"/>
      <c r="J9" s="139"/>
      <c r="K9" s="139"/>
      <c r="L9" s="139"/>
      <c r="M9" s="139"/>
      <c r="N9" s="139"/>
      <c r="O9" s="139"/>
      <c r="P9" s="140"/>
      <c r="Q9" s="140"/>
    </row>
    <row r="10" spans="2:17" ht="12.75">
      <c r="B10" s="141" t="s">
        <v>111</v>
      </c>
      <c r="C10" s="142">
        <f>calculations!C13</f>
        <v>0</v>
      </c>
      <c r="D10" s="142">
        <f>calculations!D13</f>
        <v>0</v>
      </c>
      <c r="E10" s="143">
        <f>calculations!F13</f>
        <v>0</v>
      </c>
      <c r="I10" s="138"/>
      <c r="J10" s="139"/>
      <c r="K10" s="139"/>
      <c r="L10" s="139"/>
      <c r="M10" s="139"/>
      <c r="N10" s="139"/>
      <c r="O10" s="139"/>
      <c r="P10" s="140"/>
      <c r="Q10" s="140"/>
    </row>
    <row r="11" spans="2:17" ht="12.75">
      <c r="B11" s="141" t="s">
        <v>112</v>
      </c>
      <c r="C11" s="142">
        <f>calculations!C14</f>
        <v>0</v>
      </c>
      <c r="D11" s="142">
        <f>calculations!D14</f>
        <v>0</v>
      </c>
      <c r="E11" s="143">
        <f>calculations!F14</f>
        <v>0</v>
      </c>
      <c r="I11" s="144">
        <f>C29</f>
        <v>21.80927764929941</v>
      </c>
      <c r="J11" s="145">
        <f>C30</f>
        <v>7.886089813800657</v>
      </c>
      <c r="K11" s="145">
        <f>C31</f>
        <v>0</v>
      </c>
      <c r="L11" s="145">
        <f>C32</f>
        <v>31.177639852338647</v>
      </c>
      <c r="M11" s="145">
        <f>C33</f>
        <v>38.5797850632567</v>
      </c>
      <c r="N11" s="145">
        <f>C34</f>
        <v>0</v>
      </c>
      <c r="O11" s="145">
        <f>C35</f>
        <v>0</v>
      </c>
      <c r="P11" s="146">
        <f>C36</f>
        <v>-20.176972442357506</v>
      </c>
      <c r="Q11" s="146"/>
    </row>
    <row r="12" spans="2:17" ht="12.75">
      <c r="B12" s="141" t="s">
        <v>113</v>
      </c>
      <c r="C12" s="142">
        <f>calculations!C15</f>
        <v>0</v>
      </c>
      <c r="D12" s="142">
        <f>calculations!D15</f>
        <v>0</v>
      </c>
      <c r="E12" s="143">
        <f>calculations!F15</f>
        <v>0</v>
      </c>
      <c r="Q12"/>
    </row>
    <row r="13" spans="2:12" ht="15">
      <c r="B13" s="141" t="s">
        <v>114</v>
      </c>
      <c r="C13" s="142">
        <f>calculations!C16</f>
        <v>0</v>
      </c>
      <c r="D13" s="142">
        <f>calculations!D16</f>
        <v>0</v>
      </c>
      <c r="E13" s="143">
        <f>calculations!F16</f>
        <v>0</v>
      </c>
      <c r="L13" s="132" t="s">
        <v>44</v>
      </c>
    </row>
    <row r="14" spans="2:5" ht="12.75">
      <c r="B14" s="141" t="s">
        <v>115</v>
      </c>
      <c r="C14" s="142">
        <f>calculations!C17</f>
        <v>0</v>
      </c>
      <c r="D14" s="142">
        <f>calculations!D17</f>
        <v>0</v>
      </c>
      <c r="E14" s="143">
        <f>calculations!F17</f>
        <v>0</v>
      </c>
    </row>
    <row r="15" spans="2:17" ht="12.75" customHeight="1">
      <c r="B15" s="147" t="s">
        <v>116</v>
      </c>
      <c r="C15" s="148">
        <f>calculations!C18</f>
        <v>0</v>
      </c>
      <c r="D15" s="148">
        <f>calculations!D18</f>
        <v>0</v>
      </c>
      <c r="E15" s="149">
        <f>calculations!F18</f>
        <v>0</v>
      </c>
      <c r="I15" s="150" t="s">
        <v>46</v>
      </c>
      <c r="J15" s="151" t="s">
        <v>47</v>
      </c>
      <c r="K15" s="151" t="s">
        <v>48</v>
      </c>
      <c r="L15" s="151" t="s">
        <v>49</v>
      </c>
      <c r="M15" s="151" t="s">
        <v>50</v>
      </c>
      <c r="N15" s="151" t="s">
        <v>51</v>
      </c>
      <c r="O15" s="151" t="s">
        <v>52</v>
      </c>
      <c r="P15" s="152" t="s">
        <v>53</v>
      </c>
      <c r="Q15" s="153"/>
    </row>
    <row r="16" spans="9:17" ht="12.75">
      <c r="I16" s="150"/>
      <c r="J16" s="151"/>
      <c r="K16" s="151"/>
      <c r="L16" s="151"/>
      <c r="M16" s="151"/>
      <c r="N16" s="151"/>
      <c r="O16" s="151"/>
      <c r="P16" s="152"/>
      <c r="Q16" s="154"/>
    </row>
    <row r="17" spans="2:17" ht="12.75" customHeight="1">
      <c r="B17" s="129" t="s">
        <v>44</v>
      </c>
      <c r="C17" s="130"/>
      <c r="D17" s="130"/>
      <c r="E17" s="131"/>
      <c r="I17" s="155" t="s">
        <v>54</v>
      </c>
      <c r="J17" s="156" t="s">
        <v>55</v>
      </c>
      <c r="K17" s="156" t="s">
        <v>56</v>
      </c>
      <c r="L17" s="156" t="s">
        <v>57</v>
      </c>
      <c r="M17" s="156" t="s">
        <v>58</v>
      </c>
      <c r="N17" s="156" t="s">
        <v>59</v>
      </c>
      <c r="O17" s="156" t="s">
        <v>60</v>
      </c>
      <c r="P17" s="157" t="s">
        <v>61</v>
      </c>
      <c r="Q17" s="154"/>
    </row>
    <row r="18" spans="2:17" ht="12.75">
      <c r="B18" s="136"/>
      <c r="C18" s="134" t="s">
        <v>62</v>
      </c>
      <c r="D18" s="134" t="s">
        <v>118</v>
      </c>
      <c r="E18" s="135" t="s">
        <v>119</v>
      </c>
      <c r="I18" s="155"/>
      <c r="J18" s="156"/>
      <c r="K18" s="156"/>
      <c r="L18" s="156"/>
      <c r="M18" s="156"/>
      <c r="N18" s="156"/>
      <c r="O18" s="156"/>
      <c r="P18" s="157"/>
      <c r="Q18" s="154"/>
    </row>
    <row r="19" spans="2:17" ht="12.75">
      <c r="B19" s="141" t="s">
        <v>120</v>
      </c>
      <c r="C19" s="142">
        <f>calculations!B25</f>
        <v>0</v>
      </c>
      <c r="D19" s="158">
        <f>C19/1000</f>
        <v>0</v>
      </c>
      <c r="E19" s="159">
        <f>D19*3.78</f>
        <v>0</v>
      </c>
      <c r="I19" s="160">
        <f>calculations!B25</f>
        <v>0</v>
      </c>
      <c r="J19" s="161">
        <f>calculations!C25</f>
        <v>80</v>
      </c>
      <c r="K19" s="161">
        <f>calculations!D25</f>
        <v>0</v>
      </c>
      <c r="L19" s="161">
        <f>calculations!E25</f>
        <v>80</v>
      </c>
      <c r="M19" s="161">
        <f>calculations!F25</f>
        <v>0</v>
      </c>
      <c r="N19" s="161">
        <f>calculations!G25</f>
        <v>0</v>
      </c>
      <c r="O19" s="161">
        <f>calculations!H25</f>
        <v>0</v>
      </c>
      <c r="P19" s="162">
        <f>calculations!I25</f>
        <v>0</v>
      </c>
      <c r="Q19" s="154" t="s">
        <v>62</v>
      </c>
    </row>
    <row r="20" spans="2:17" ht="12.75">
      <c r="B20" s="141" t="s">
        <v>121</v>
      </c>
      <c r="C20" s="142">
        <f>calculations!C25</f>
        <v>80</v>
      </c>
      <c r="D20" s="158">
        <f>C20/1000</f>
        <v>0.08</v>
      </c>
      <c r="E20" s="159">
        <f>D20*3.78</f>
        <v>0.3024</v>
      </c>
      <c r="I20" s="160">
        <f>I19/1000</f>
        <v>0</v>
      </c>
      <c r="J20" s="161">
        <f>J19/1000</f>
        <v>0.08</v>
      </c>
      <c r="K20" s="161">
        <f>K19/1000</f>
        <v>0</v>
      </c>
      <c r="L20" s="161">
        <f>L19/1000</f>
        <v>0.08</v>
      </c>
      <c r="M20" s="161">
        <f>M19/1000</f>
        <v>0</v>
      </c>
      <c r="N20" s="161">
        <f>N19/1000</f>
        <v>0</v>
      </c>
      <c r="O20" s="161">
        <f>O19/1000</f>
        <v>0</v>
      </c>
      <c r="P20" s="162">
        <f>P19/1000</f>
        <v>0</v>
      </c>
      <c r="Q20" s="154" t="s">
        <v>118</v>
      </c>
    </row>
    <row r="21" spans="2:17" ht="12.75">
      <c r="B21" s="141" t="s">
        <v>122</v>
      </c>
      <c r="C21" s="142">
        <f>calculations!D25</f>
        <v>0</v>
      </c>
      <c r="D21" s="158">
        <f>C21/1000</f>
        <v>0</v>
      </c>
      <c r="E21" s="159">
        <f>D21*3.78</f>
        <v>0</v>
      </c>
      <c r="I21" s="163">
        <f>I20*3.78</f>
        <v>0</v>
      </c>
      <c r="J21" s="164">
        <f>J20*3.78</f>
        <v>0.3024</v>
      </c>
      <c r="K21" s="164">
        <f>K20*3.78</f>
        <v>0</v>
      </c>
      <c r="L21" s="164">
        <f>L20*3.78</f>
        <v>0.3024</v>
      </c>
      <c r="M21" s="164">
        <f>M20*3.78</f>
        <v>0</v>
      </c>
      <c r="N21" s="164">
        <f>N20*3.78</f>
        <v>0</v>
      </c>
      <c r="O21" s="164">
        <f>O20*3.78</f>
        <v>0</v>
      </c>
      <c r="P21" s="165">
        <f>P20*3.78</f>
        <v>0</v>
      </c>
      <c r="Q21" s="166" t="s">
        <v>119</v>
      </c>
    </row>
    <row r="22" spans="2:5" ht="12.75">
      <c r="B22" s="141" t="s">
        <v>123</v>
      </c>
      <c r="C22" s="142">
        <f>calculations!E25</f>
        <v>80</v>
      </c>
      <c r="D22" s="158">
        <f>C22/1000</f>
        <v>0.08</v>
      </c>
      <c r="E22" s="159">
        <f>D22*3.78</f>
        <v>0.3024</v>
      </c>
    </row>
    <row r="23" spans="2:5" ht="12.75">
      <c r="B23" s="141" t="s">
        <v>124</v>
      </c>
      <c r="C23" s="142">
        <f>calculations!F25</f>
        <v>0</v>
      </c>
      <c r="D23" s="158">
        <f>C23/1000</f>
        <v>0</v>
      </c>
      <c r="E23" s="159">
        <f>D23*3.78</f>
        <v>0</v>
      </c>
    </row>
    <row r="24" spans="2:5" ht="12.75">
      <c r="B24" s="141" t="s">
        <v>51</v>
      </c>
      <c r="C24" s="142">
        <f>calculations!G25</f>
        <v>0</v>
      </c>
      <c r="D24" s="158">
        <f>C24/1000</f>
        <v>0</v>
      </c>
      <c r="E24" s="159">
        <f>D24*3.78</f>
        <v>0</v>
      </c>
    </row>
    <row r="25" spans="2:5" ht="12.75">
      <c r="B25" s="141" t="s">
        <v>125</v>
      </c>
      <c r="C25" s="142">
        <f>calculations!H25</f>
        <v>0</v>
      </c>
      <c r="D25" s="158">
        <f>C25/1000</f>
        <v>0</v>
      </c>
      <c r="E25" s="159">
        <f>D25*3.78</f>
        <v>0</v>
      </c>
    </row>
    <row r="26" spans="2:5" ht="12.75">
      <c r="B26" s="147" t="s">
        <v>126</v>
      </c>
      <c r="C26" s="148">
        <f>calculations!I25</f>
        <v>0</v>
      </c>
      <c r="D26" s="167">
        <f>C26/1000</f>
        <v>0</v>
      </c>
      <c r="E26" s="168">
        <f>D26*3.78</f>
        <v>0</v>
      </c>
    </row>
    <row r="27" spans="2:3" ht="12.75">
      <c r="B27"/>
      <c r="C27"/>
    </row>
    <row r="28" spans="2:3" ht="12.75">
      <c r="B28" s="169" t="s">
        <v>127</v>
      </c>
      <c r="C28" s="170"/>
    </row>
    <row r="29" spans="2:3" ht="12.75">
      <c r="B29" s="171" t="s">
        <v>110</v>
      </c>
      <c r="C29" s="172">
        <f>calculations!C36</f>
        <v>21.80927764929941</v>
      </c>
    </row>
    <row r="30" spans="2:3" ht="12.75">
      <c r="B30" s="171" t="s">
        <v>111</v>
      </c>
      <c r="C30" s="172">
        <f>calculations!C37</f>
        <v>7.886089813800657</v>
      </c>
    </row>
    <row r="31" spans="2:3" ht="12.75">
      <c r="B31" s="171" t="s">
        <v>112</v>
      </c>
      <c r="C31" s="172">
        <f>calculations!C38</f>
        <v>0</v>
      </c>
    </row>
    <row r="32" spans="2:3" ht="12.75">
      <c r="B32" s="171" t="s">
        <v>113</v>
      </c>
      <c r="C32" s="172">
        <f>calculations!C39</f>
        <v>31.177639852338647</v>
      </c>
    </row>
    <row r="33" spans="2:3" ht="12.75">
      <c r="B33" s="171" t="s">
        <v>114</v>
      </c>
      <c r="C33" s="172">
        <f>calculations!C40</f>
        <v>38.5797850632567</v>
      </c>
    </row>
    <row r="34" spans="2:3" ht="12.75">
      <c r="B34" s="171" t="s">
        <v>115</v>
      </c>
      <c r="C34" s="172">
        <f>calculations!C41</f>
        <v>0</v>
      </c>
    </row>
    <row r="35" spans="2:3" ht="12.75">
      <c r="B35" s="171" t="s">
        <v>116</v>
      </c>
      <c r="C35" s="172">
        <f>calculations!C42</f>
        <v>0</v>
      </c>
    </row>
    <row r="36" spans="2:3" ht="12.75">
      <c r="B36" s="173" t="s">
        <v>128</v>
      </c>
      <c r="C36" s="174">
        <f>calculations!C44</f>
        <v>-20.176972442357506</v>
      </c>
    </row>
  </sheetData>
  <mergeCells count="25">
    <mergeCell ref="I8:I10"/>
    <mergeCell ref="J8:J10"/>
    <mergeCell ref="K8:K10"/>
    <mergeCell ref="L8:L10"/>
    <mergeCell ref="M8:M10"/>
    <mergeCell ref="N8:N10"/>
    <mergeCell ref="O8:O10"/>
    <mergeCell ref="P8:Q10"/>
    <mergeCell ref="P11:Q11"/>
    <mergeCell ref="I15:I16"/>
    <mergeCell ref="J15:J16"/>
    <mergeCell ref="K15:K16"/>
    <mergeCell ref="L15:L16"/>
    <mergeCell ref="M15:M16"/>
    <mergeCell ref="N15:N16"/>
    <mergeCell ref="O15:O16"/>
    <mergeCell ref="P15:P16"/>
    <mergeCell ref="I17:I18"/>
    <mergeCell ref="J17:J18"/>
    <mergeCell ref="K17:K18"/>
    <mergeCell ref="L17:L18"/>
    <mergeCell ref="M17:M18"/>
    <mergeCell ref="N17:N18"/>
    <mergeCell ref="O17:O18"/>
    <mergeCell ref="P17:P18"/>
  </mergeCells>
  <printOptions headings="1"/>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48"/>
  <sheetViews>
    <sheetView showGridLines="0" workbookViewId="0" topLeftCell="A15">
      <selection activeCell="B46" sqref="B46"/>
    </sheetView>
  </sheetViews>
  <sheetFormatPr defaultColWidth="9.140625" defaultRowHeight="12.75"/>
  <cols>
    <col min="1" max="1" width="41.57421875" style="175" customWidth="1"/>
    <col min="2" max="2" width="6.421875" style="1" customWidth="1"/>
  </cols>
  <sheetData>
    <row r="2" spans="1:2" ht="12.75">
      <c r="A2" s="176"/>
      <c r="B2"/>
    </row>
    <row r="3" spans="1:3" ht="12.75">
      <c r="A3" s="176" t="s">
        <v>129</v>
      </c>
      <c r="B3" s="177">
        <f>IF(calculations!E48="l",calculations!D48,IF(calculations!E48="qt",calculations!D48*0.95,calculations!D48*3.79))</f>
        <v>0</v>
      </c>
      <c r="C3" t="s">
        <v>9</v>
      </c>
    </row>
    <row r="4" spans="1:3" ht="12.75">
      <c r="A4" s="176" t="s">
        <v>130</v>
      </c>
      <c r="B4" s="177">
        <f>IF(calculations!E49="l",calculations!D49,IF(calculations!E49="qt",calculations!D49*0.95,calculations!D49*3.79))</f>
        <v>0</v>
      </c>
      <c r="C4" t="s">
        <v>9</v>
      </c>
    </row>
    <row r="5" spans="1:3" ht="12.75">
      <c r="A5" s="176" t="s">
        <v>131</v>
      </c>
      <c r="B5" s="177">
        <f>IF(calculations!E50="l",calculations!D50,IF(calculations!E50="qt",calculations!D50*0.95,calculations!D50*3.79))</f>
        <v>0</v>
      </c>
      <c r="C5" t="s">
        <v>9</v>
      </c>
    </row>
    <row r="6" spans="1:2" ht="12.75">
      <c r="A6" s="176"/>
      <c r="B6"/>
    </row>
    <row r="7" spans="1:3" ht="12.75">
      <c r="A7" s="176" t="s">
        <v>132</v>
      </c>
      <c r="B7" s="177">
        <f>IF(calculations!J48="kg",calculations!I48,calculations!I48*0.45)</f>
        <v>0</v>
      </c>
      <c r="C7" t="s">
        <v>6</v>
      </c>
    </row>
    <row r="8" spans="1:3" ht="12.75">
      <c r="A8" s="176" t="s">
        <v>85</v>
      </c>
      <c r="B8" s="177" t="e">
        <f>B4/B7</f>
        <v>#DIV/0!</v>
      </c>
      <c r="C8" t="s">
        <v>133</v>
      </c>
    </row>
    <row r="9" spans="1:2" ht="12.75">
      <c r="A9" s="176"/>
      <c r="B9"/>
    </row>
    <row r="10" spans="1:3" ht="12.75">
      <c r="A10" s="176" t="s">
        <v>134</v>
      </c>
      <c r="B10" s="177" t="e">
        <f>0.013*B8+0.013</f>
        <v>#DIV/0!</v>
      </c>
      <c r="C10" t="s">
        <v>135</v>
      </c>
    </row>
    <row r="11" spans="1:2" ht="12.75">
      <c r="A11" s="176"/>
      <c r="B11"/>
    </row>
    <row r="12" spans="1:2" ht="12.75">
      <c r="A12" s="176"/>
      <c r="B12"/>
    </row>
    <row r="13" spans="1:2" ht="12.75">
      <c r="A13" s="176"/>
      <c r="B13"/>
    </row>
    <row r="14" spans="1:2" ht="12.75">
      <c r="A14" s="176"/>
      <c r="B14"/>
    </row>
    <row r="15" spans="1:2" ht="12.75">
      <c r="A15" s="176"/>
      <c r="B15"/>
    </row>
    <row r="16" spans="1:2" ht="12.75">
      <c r="A16" s="176"/>
      <c r="B16"/>
    </row>
    <row r="17" spans="1:2" ht="12.75">
      <c r="A17" s="176"/>
      <c r="B17"/>
    </row>
    <row r="18" spans="1:2" ht="12.75">
      <c r="A18" s="176"/>
      <c r="B18"/>
    </row>
    <row r="19" spans="1:2" ht="12.75">
      <c r="A19" s="176"/>
      <c r="B19"/>
    </row>
    <row r="20" spans="1:2" ht="12.75">
      <c r="A20" s="176"/>
      <c r="B20"/>
    </row>
    <row r="21" spans="1:2" ht="12.75">
      <c r="A21" s="176"/>
      <c r="B21"/>
    </row>
    <row r="22" spans="1:4" ht="12.75">
      <c r="A22" s="175" t="s">
        <v>136</v>
      </c>
      <c r="B22" s="1">
        <v>0.02</v>
      </c>
      <c r="D22" t="s">
        <v>137</v>
      </c>
    </row>
    <row r="25" spans="1:3" ht="12.75">
      <c r="A25" s="175" t="s">
        <v>138</v>
      </c>
      <c r="B25" s="1" t="e">
        <f>SUM(calculations!B55*calculations!G55,calculations!B56*calculations!G56,calculations!B57*calculations!G57)/SUM(calculations!B55:B57)</f>
        <v>#DIV/0!</v>
      </c>
      <c r="C25" t="s">
        <v>139</v>
      </c>
    </row>
    <row r="27" spans="1:3" ht="12.75">
      <c r="A27" s="175" t="s">
        <v>140</v>
      </c>
      <c r="B27" s="1">
        <f>calculations!$D$58*calculations!B75/100*calculations!G75</f>
        <v>0</v>
      </c>
      <c r="C27" t="s">
        <v>141</v>
      </c>
    </row>
    <row r="28" spans="1:3" ht="12.75">
      <c r="A28" s="175" t="s">
        <v>142</v>
      </c>
      <c r="B28" s="1">
        <f>calculations!$D$58*calculations!B76/100*calculations!G76</f>
        <v>0</v>
      </c>
      <c r="C28" t="s">
        <v>141</v>
      </c>
    </row>
    <row r="29" spans="1:2" ht="12.75">
      <c r="A29" s="175" t="s">
        <v>143</v>
      </c>
      <c r="B29" s="1">
        <f>calculations!$D$58*calculations!B77/100*calculations!G77</f>
        <v>0</v>
      </c>
    </row>
    <row r="30" spans="1:3" ht="12.75">
      <c r="A30" s="175" t="s">
        <v>144</v>
      </c>
      <c r="B30" s="1">
        <f>SUM(B27:B29)</f>
        <v>0</v>
      </c>
      <c r="C30" t="s">
        <v>141</v>
      </c>
    </row>
    <row r="32" spans="1:3" ht="12.75">
      <c r="A32" s="175" t="s">
        <v>145</v>
      </c>
      <c r="B32" s="1" t="e">
        <f>B30/calculations!D49*2.81</f>
        <v>#DIV/0!</v>
      </c>
      <c r="C32" t="s">
        <v>43</v>
      </c>
    </row>
    <row r="34" spans="1:3" ht="12.75">
      <c r="A34" s="175" t="s">
        <v>146</v>
      </c>
      <c r="B34" s="1">
        <f>calculations!F36/3.5+calculations!F37/7</f>
        <v>1.1329013162469126</v>
      </c>
      <c r="C34" t="s">
        <v>43</v>
      </c>
    </row>
    <row r="36" spans="1:3" ht="12.75">
      <c r="A36" s="175" t="s">
        <v>147</v>
      </c>
      <c r="B36" s="1" t="e">
        <f>calculations!F42-B32-B34</f>
        <v>#DIV/0!</v>
      </c>
      <c r="C36" t="s">
        <v>43</v>
      </c>
    </row>
    <row r="37" spans="1:3" ht="12.75">
      <c r="A37" s="175" t="s">
        <v>148</v>
      </c>
      <c r="B37" s="1" t="e">
        <f>B36*B22</f>
        <v>#DIV/0!</v>
      </c>
      <c r="C37" t="s">
        <v>139</v>
      </c>
    </row>
    <row r="38" spans="1:3" ht="12.75">
      <c r="A38" s="175" t="s">
        <v>149</v>
      </c>
      <c r="B38" s="1" t="e">
        <f>B25+B37</f>
        <v>#DIV/0!</v>
      </c>
      <c r="C38" t="s">
        <v>139</v>
      </c>
    </row>
    <row r="44" spans="1:3" ht="12.75">
      <c r="A44" s="175" t="s">
        <v>150</v>
      </c>
      <c r="B44" s="1">
        <f>IF(calculations!E62="l",calculations!D62,IF(calculations!E62="qt",calculations!D62*0.95,calculations!D62*3.79))</f>
        <v>0</v>
      </c>
      <c r="C44" t="s">
        <v>9</v>
      </c>
    </row>
    <row r="45" spans="1:3" ht="12.75">
      <c r="A45" s="178" t="s">
        <v>96</v>
      </c>
      <c r="B45" s="177">
        <f>IF(LEN(calculations!D65)=0,IF(LEN(calculations!D62)=0,0,calculations!D63*1000/B44),calculations!D65)</f>
        <v>0</v>
      </c>
      <c r="C45" t="s">
        <v>62</v>
      </c>
    </row>
    <row r="46" spans="1:3" ht="12.75">
      <c r="A46" s="175" t="s">
        <v>151</v>
      </c>
      <c r="B46" s="1">
        <f>IF($B$45=0,"",calculations!I56*1000/$B$45)</f>
      </c>
      <c r="C46" t="s">
        <v>9</v>
      </c>
    </row>
    <row r="47" spans="1:3" ht="12.75">
      <c r="A47" s="175" t="s">
        <v>152</v>
      </c>
      <c r="B47" s="1">
        <f>IF($B$45=0,"",calculations!I57*1000/$B$45)</f>
      </c>
      <c r="C47" t="s">
        <v>9</v>
      </c>
    </row>
    <row r="48" spans="1:3" ht="12.75">
      <c r="A48" s="175" t="s">
        <v>153</v>
      </c>
      <c r="B48" s="1">
        <f>IF($B$45=0,"",calculations!I58*1000/$B$45)</f>
      </c>
      <c r="C48" t="s">
        <v>9</v>
      </c>
    </row>
  </sheetData>
  <printOptions headings="1"/>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2"/>
  <sheetViews>
    <sheetView showGridLines="0" workbookViewId="0" topLeftCell="A1">
      <selection activeCell="A7" sqref="A7"/>
    </sheetView>
  </sheetViews>
  <sheetFormatPr defaultColWidth="12.57421875" defaultRowHeight="12.75"/>
  <cols>
    <col min="1" max="1" width="46.00390625" style="0" customWidth="1"/>
    <col min="2" max="16384" width="11.57421875" style="0" customWidth="1"/>
  </cols>
  <sheetData>
    <row r="2" spans="1:3" ht="12.75">
      <c r="A2" s="175" t="s">
        <v>154</v>
      </c>
      <c r="B2" s="1">
        <v>2.8</v>
      </c>
      <c r="C2" s="1" t="s">
        <v>155</v>
      </c>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C12"/>
  <sheetViews>
    <sheetView showGridLines="0" workbookViewId="0" topLeftCell="A1">
      <selection activeCell="C13" sqref="C13"/>
    </sheetView>
  </sheetViews>
  <sheetFormatPr defaultColWidth="9.140625" defaultRowHeight="12.75"/>
  <cols>
    <col min="1" max="1" width="10.00390625" style="179" customWidth="1"/>
    <col min="2" max="2" width="11.28125" style="1" customWidth="1"/>
    <col min="3" max="3" width="37.7109375" style="1" customWidth="1"/>
  </cols>
  <sheetData>
    <row r="1" spans="1:3" ht="12.75">
      <c r="A1" s="180" t="s">
        <v>156</v>
      </c>
      <c r="B1" s="181" t="s">
        <v>157</v>
      </c>
      <c r="C1" s="4" t="s">
        <v>158</v>
      </c>
    </row>
    <row r="2" spans="1:3" ht="12.75">
      <c r="A2" s="182" t="s">
        <v>159</v>
      </c>
      <c r="B2" s="183">
        <v>39837</v>
      </c>
      <c r="C2" s="1" t="s">
        <v>160</v>
      </c>
    </row>
    <row r="3" spans="1:3" ht="12.75">
      <c r="A3" s="182" t="s">
        <v>161</v>
      </c>
      <c r="B3" s="183">
        <v>39839</v>
      </c>
      <c r="C3" s="1" t="s">
        <v>162</v>
      </c>
    </row>
    <row r="4" spans="1:3" ht="12.75">
      <c r="A4" s="182" t="s">
        <v>163</v>
      </c>
      <c r="B4" s="183">
        <v>39841</v>
      </c>
      <c r="C4" s="1" t="s">
        <v>164</v>
      </c>
    </row>
    <row r="5" ht="12.75">
      <c r="C5" s="1" t="s">
        <v>165</v>
      </c>
    </row>
    <row r="6" spans="1:3" ht="12.75">
      <c r="A6" s="182" t="s">
        <v>166</v>
      </c>
      <c r="B6" s="183">
        <v>39842</v>
      </c>
      <c r="C6" s="1" t="s">
        <v>167</v>
      </c>
    </row>
    <row r="7" spans="1:3" ht="12.75">
      <c r="A7" s="182" t="s">
        <v>168</v>
      </c>
      <c r="B7" s="183">
        <v>39890</v>
      </c>
      <c r="C7" s="1" t="s">
        <v>169</v>
      </c>
    </row>
    <row r="8" spans="1:3" ht="12.75">
      <c r="A8" s="182" t="s">
        <v>170</v>
      </c>
      <c r="B8" s="183">
        <v>39903</v>
      </c>
      <c r="C8" s="1" t="s">
        <v>171</v>
      </c>
    </row>
    <row r="9" spans="1:3" ht="12.75">
      <c r="A9" s="182" t="s">
        <v>172</v>
      </c>
      <c r="B9" s="184">
        <v>40023</v>
      </c>
      <c r="C9" s="1" t="s">
        <v>173</v>
      </c>
    </row>
    <row r="10" spans="1:3" ht="12.75">
      <c r="A10" s="179" t="s">
        <v>174</v>
      </c>
      <c r="B10" s="185">
        <v>40049</v>
      </c>
      <c r="C10" s="1" t="s">
        <v>175</v>
      </c>
    </row>
    <row r="11" ht="12.75">
      <c r="C11" s="1" t="s">
        <v>176</v>
      </c>
    </row>
    <row r="12" ht="12.75">
      <c r="C12" s="1" t="s">
        <v>177</v>
      </c>
    </row>
  </sheetData>
  <printOptions headings="1"/>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35999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Kai Troester</cp:lastModifiedBy>
  <dcterms:modified xsi:type="dcterms:W3CDTF">2009-11-24T23:02:59Z</dcterms:modified>
  <cp:category/>
  <cp:version/>
  <cp:contentType/>
  <cp:contentStatus/>
  <cp:revision>18</cp:revision>
</cp:coreProperties>
</file>