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16380" windowHeight="8250" tabRatio="935" activeTab="0"/>
  </bookViews>
  <sheets>
    <sheet name="basic" sheetId="1" r:id="rId1"/>
    <sheet name="advanced" sheetId="2" r:id="rId2"/>
    <sheet name="history" sheetId="3" r:id="rId3"/>
    <sheet name="detailed calculations" sheetId="4" r:id="rId4"/>
    <sheet name="constants" sheetId="5" r:id="rId5"/>
    <sheet name="water stats" sheetId="6" r:id="rId6"/>
  </sheets>
  <definedNames/>
  <calcPr fullCalcOnLoad="1"/>
</workbook>
</file>

<file path=xl/sharedStrings.xml><?xml version="1.0" encoding="utf-8"?>
<sst xmlns="http://schemas.openxmlformats.org/spreadsheetml/2006/main" count="878" uniqueCount="481">
  <si>
    <t>Water Profile Calculator (basic)</t>
  </si>
  <si>
    <t>instructions</t>
  </si>
  <si>
    <t>user input</t>
  </si>
  <si>
    <t>calculated data</t>
  </si>
  <si>
    <t>weight unit</t>
  </si>
  <si>
    <t>lb</t>
  </si>
  <si>
    <t xml:space="preserve">enter the units you want to use for entering weights and volumes. The weight of the salts will always be expressed in gram </t>
  </si>
  <si>
    <t>volume unit</t>
  </si>
  <si>
    <t>gal</t>
  </si>
  <si>
    <t>water and blending</t>
  </si>
  <si>
    <t>Use this section to enter analysis results from a simple “at home” water test. Those tests, which are commonly used for aquarium water, measure total hardness (GH) and alkalinity (KH). Depending on the test, hardness and alkalinity are reported either as German Hardness (dH) or ppm as CaCO3. If you enter the result as dH the ppm as CaCO3 values will be calculated. Once filled in, the spreadsheet estimates Calcium and Magnesium content of the water and uses them along with the measured alkalinity in subsequent sections. If you have a more detailed water report, skip this and use the following section.</t>
  </si>
  <si>
    <t>simple water test</t>
  </si>
  <si>
    <t>GH</t>
  </si>
  <si>
    <t>KH</t>
  </si>
  <si>
    <t>calcium</t>
  </si>
  <si>
    <t>ppm</t>
  </si>
  <si>
    <t>dH</t>
  </si>
  <si>
    <t>magnesium</t>
  </si>
  <si>
    <t>or</t>
  </si>
  <si>
    <t>ppm CaCO3</t>
  </si>
  <si>
    <t>alkalinity</t>
  </si>
  <si>
    <t>as CaCO3</t>
  </si>
  <si>
    <t>detailed water test and blending</t>
  </si>
  <si>
    <t>Use this section to enter the starting water profile. If you have a water report, enter the values into the column for water A. If the report lists both alkalinity and bicarbonate you may enter only alkalinity since this is used anyway. Bicarbonate is only used to calculate alkalinity if alkalinity is not specified.
If you wish to dilute with reverse osmosis or distilled water, use E18 to enter the percentage of water A that you want. The rest will be the water specified as water B where you can leave the fields D20:D26 = 0 if distilled or RO water is used for the dilution. Light Blue fields that contain formulas may be overridden.
The resulting water profile and its residual alkalinity will be calculated. An interesting field is the balance field which gives the ion balance in %. Ideally it should be 0 (i.e. there are as many equivalents of cations as there are anions) but if the water contains a substantial amount of ions that are not listed here (i.e. Potassium or Phosphates), the ions may not add up. The reported balance will be wrong if only GH and KH were specified for the water profile.
A note on the sulfate content (SO4). Some water labs, like Ward Labs for example, report SO4-S. If your water report shows that select "SO4-S mg/l" from the drop-down menu for this unit</t>
  </si>
  <si>
    <t>Water A percentage</t>
  </si>
  <si>
    <t>%</t>
  </si>
  <si>
    <t>ion balance (%)</t>
  </si>
  <si>
    <t>Water A</t>
  </si>
  <si>
    <t>Water B</t>
  </si>
  <si>
    <t>analysis</t>
  </si>
  <si>
    <t>mix</t>
  </si>
  <si>
    <t>mg/l</t>
  </si>
  <si>
    <t>Ca mg/l</t>
  </si>
  <si>
    <t>Mg mg/l</t>
  </si>
  <si>
    <t>sodium</t>
  </si>
  <si>
    <t>Na mg/l</t>
  </si>
  <si>
    <t>sulfate</t>
  </si>
  <si>
    <t>SO4 mg/l</t>
  </si>
  <si>
    <t>*</t>
  </si>
  <si>
    <t>chloride</t>
  </si>
  <si>
    <t>Cl mg/l</t>
  </si>
  <si>
    <t>bicarb</t>
  </si>
  <si>
    <t>HCO3 mg/l</t>
  </si>
  <si>
    <t>* select SO4 or SO4-S based on what is given in your water report</t>
  </si>
  <si>
    <t>CaCO3 mg/l</t>
  </si>
  <si>
    <t>Residual alkalinity</t>
  </si>
  <si>
    <t>ppm as CaCO3</t>
  </si>
  <si>
    <t>pH change from water</t>
  </si>
  <si>
    <t>pH</t>
  </si>
  <si>
    <t>(based on base water and beer info)</t>
  </si>
  <si>
    <t>mash and beer info</t>
  </si>
  <si>
    <t>The amounts of water given are used to calculate the salt additions and the mash thickness.
The grist weight is needed to calculate mash thickness which in turn is needed to estimate the pH shift caused by the water, salt and acid additions. It may be omitted if the pH shift is not of interest</t>
  </si>
  <si>
    <t>Water use</t>
  </si>
  <si>
    <t>malt weight</t>
  </si>
  <si>
    <t>total water</t>
  </si>
  <si>
    <t>grist weight</t>
  </si>
  <si>
    <t>Strike water</t>
  </si>
  <si>
    <t>mash thickness</t>
  </si>
  <si>
    <t>This section allows you to enter beer color as SRM and use it to predict the acidity of the grist. Together with the residual alkalinity of the water and acid additions it allows for a crude mash pH prediction. The mash pH prediction uses the mash thickness which means that grist weight and strike water volume need to be specified in the section above. The fields “roasted %” allows you to specify how much of the beer's color is contributed by roasted malts. E.g. if a beer is brewed with 90% 2-row, 7% 60 Lovibond cara malts and 3% 500 Lovibond roasted malts, the roasted malt portion of the color is 3%*500/(7%*60+3%*500)=78% (this neglects the color from the 2-row) . The formula used for this estimation is explained here: http://braukaiser.com/wiki/index.php?title=Beer_color%2C_alkalinity_and_mash_pH
The predicted distilled water mash pH value is that of a room temperature mash sample</t>
  </si>
  <si>
    <t>Sparge water</t>
  </si>
  <si>
    <t>beer color and roasted malt</t>
  </si>
  <si>
    <t>beer color</t>
  </si>
  <si>
    <t>SRM</t>
  </si>
  <si>
    <t>roasted %</t>
  </si>
  <si>
    <t>estimated DI mash pH</t>
  </si>
  <si>
    <t>(at 25 C / 77 F)</t>
  </si>
  <si>
    <t>salt and acid additions</t>
  </si>
  <si>
    <t>Use this section to change the water profile by entering the desired amout of salts of salts. The drop down menu under "unit" allows you to select different units. If "g" is selected for unit a total water amount needs to be given in D36.</t>
  </si>
  <si>
    <t>salts</t>
  </si>
  <si>
    <t>salts added to</t>
  </si>
  <si>
    <t>mash and sparge</t>
  </si>
  <si>
    <t>Gypsym</t>
  </si>
  <si>
    <t>Epsom</t>
  </si>
  <si>
    <t>Table Salt</t>
  </si>
  <si>
    <t>Calcium Chloride</t>
  </si>
  <si>
    <t>Magnesium Chloride</t>
  </si>
  <si>
    <t>Baking soda</t>
  </si>
  <si>
    <r>
      <t xml:space="preserve">Chalk </t>
    </r>
    <r>
      <rPr>
        <i/>
        <sz val="8"/>
        <rFont val="Arial"/>
        <family val="2"/>
      </rPr>
      <t>undissolved</t>
    </r>
  </si>
  <si>
    <t>CaSO4
·2H2O</t>
  </si>
  <si>
    <t>MgSO4
·7H2O</t>
  </si>
  <si>
    <t>NaCl</t>
  </si>
  <si>
    <t>CaCl2
·2H2O</t>
  </si>
  <si>
    <t>MgCl2
·6H2O</t>
  </si>
  <si>
    <t>NaHCO3</t>
  </si>
  <si>
    <t>CaCO3</t>
  </si>
  <si>
    <t>unit</t>
  </si>
  <si>
    <t>g</t>
  </si>
  <si>
    <t>acids</t>
  </si>
  <si>
    <t>strength</t>
  </si>
  <si>
    <t>In this section enter the acids you want to add to either the mash water or the grist. Various units are supported.</t>
  </si>
  <si>
    <t>lactic acid</t>
  </si>
  <si>
    <t>ml</t>
  </si>
  <si>
    <t>phosphoric acid</t>
  </si>
  <si>
    <t>acid malt</t>
  </si>
  <si>
    <t>pH change from acids and salts</t>
  </si>
  <si>
    <t>The resulting water profile in detail. The left most column shows the recommended ranges for the individual ions.
Aside from the water profile this section also reports the pH shift that can be expected from the water and its treatment as well as a prediction for the mash pH if grist information is available. The predicted mash pH is for a room temperature (25 C / 77 F) mash sample.
The lactid acid content can be used to asses of the added lactic acid may cause noticable flavor changes.</t>
  </si>
  <si>
    <t>resulting water profile</t>
  </si>
  <si>
    <t>for</t>
  </si>
  <si>
    <t>overall water</t>
  </si>
  <si>
    <t>range*</t>
  </si>
  <si>
    <t>50-150</t>
  </si>
  <si>
    <t>Calcium (mg/l)</t>
  </si>
  <si>
    <t>residual alkalinity</t>
  </si>
  <si>
    <t>ppm  as CaCO3*</t>
  </si>
  <si>
    <t>10-30</t>
  </si>
  <si>
    <t>Magnesium (mg/l)</t>
  </si>
  <si>
    <t>pH shift from DI pH</t>
  </si>
  <si>
    <t>0-150</t>
  </si>
  <si>
    <t>Sodium (mg/l)</t>
  </si>
  <si>
    <t>estimated mash pH</t>
  </si>
  <si>
    <t>(at 25C/77F)</t>
  </si>
  <si>
    <t>0-350</t>
  </si>
  <si>
    <t>Sulfate (mg/l)</t>
  </si>
  <si>
    <t>* residual alkalinity is for mash water only</t>
  </si>
  <si>
    <t>0-250</t>
  </si>
  <si>
    <t>Chloride (mg/l)</t>
  </si>
  <si>
    <t>mg/kg (malt)</t>
  </si>
  <si>
    <t>Bicarbonate (mg/l) *</t>
  </si>
  <si>
    <t>mg/l (water)</t>
  </si>
  <si>
    <t>Alkalinity ppm as CaCO3</t>
  </si>
  <si>
    <t>amounts to be added</t>
  </si>
  <si>
    <t xml:space="preserve">The weights of the individual salts needed to treat the water. They are given for strike and sparge water as well as the total water. </t>
  </si>
  <si>
    <t>Chalk undissolved</t>
  </si>
  <si>
    <t>mash</t>
  </si>
  <si>
    <t>sparge</t>
  </si>
  <si>
    <t>total</t>
  </si>
  <si>
    <t>sparge water acidification</t>
  </si>
  <si>
    <t>The volumes of acids and weight of acid malt. The lactic, phosphoric acid and acidulated malt addition to the mash is based on the values entered in E57:E59, while the sparge water acid addition is only enough to create sparge water with a residual alkalinity of 0. Acidifying the spatrge water too much can lead to an excessively low boil pH.</t>
  </si>
  <si>
    <t xml:space="preserve"> (only for eliminating alkalinity of the base water)</t>
  </si>
  <si>
    <t>OR</t>
  </si>
  <si>
    <t>Kai Troester, braukaiser.com, content available under Creative Commons Attribution Noncommercial license</t>
  </si>
  <si>
    <t>for license details see http://creativecommons.org/licenses/by-nc/3.0/</t>
  </si>
  <si>
    <t>*) source: John Palmer, “How To Brew”</t>
  </si>
  <si>
    <t>units supported for acid additions</t>
  </si>
  <si>
    <t>% grist</t>
  </si>
  <si>
    <t>units supported for salt additiond</t>
  </si>
  <si>
    <t>units for sulfate content</t>
  </si>
  <si>
    <t>SO4-S mg/l</t>
  </si>
  <si>
    <t>units for salts to be added</t>
  </si>
  <si>
    <t>tsp</t>
  </si>
  <si>
    <t>supported volume units</t>
  </si>
  <si>
    <t>l</t>
  </si>
  <si>
    <t>qt</t>
  </si>
  <si>
    <t>supported weight units</t>
  </si>
  <si>
    <t>kg</t>
  </si>
  <si>
    <t>Water Profile Calculator (advanced)</t>
  </si>
  <si>
    <t>Use this section to enter analysis results from a simple “at home” water test. Those tests, which are commonly used for aquarium water, measure total hardness (GH) and alkalinity (KH). Depending on the test, hardness and alkalinity are reported either as German Hardness (dH) or ppm as CaCO3. If you enter the result as dH the ppm as CaCO3 values will be calculated. Once filled in the spreadsheet estimates Calcium and Magnesium content of the water and uses them along with the measured alkalinity in subsequent sections. If you have a more detailed water report, skip this and use the next section.</t>
  </si>
  <si>
    <t>base water and blending</t>
  </si>
  <si>
    <t>Use this to enter the starting water profile. If you have a water report, enter the values into the column for water A. If the report lists both alkalinity and bicarbonate you may enter only alkalinity since this is used anyway. Bicarbonate is only used to calculate alkalinity if alkalinity is not specified.
If you want to dilute with reverse osmosis or distilled water, use E10 to enter the percentage of water A that you want. The rest will be the water specified as water B which you can leave at 0 if distilled or RO water is used.
The resulting water profile and its residual alkalinity will be calculated. Don't worry much about the grayed out values given in degrees German Hardness.
An interesting field is the balance field which gives the ion balance in %. Ideally it should be 0 (i.e. there are as many equivalents of cations as there are anions) but if the water contains a substantial amount of ions that are not listed here (i.e. Potassium or Phosphates), the ions may not add up</t>
  </si>
  <si>
    <t>Ca dH</t>
  </si>
  <si>
    <t>Mg dH</t>
  </si>
  <si>
    <t>Na dH</t>
  </si>
  <si>
    <t>SO4 dH</t>
  </si>
  <si>
    <t>Cl dH</t>
  </si>
  <si>
    <t>alkalinity dH</t>
  </si>
  <si>
    <t>pH change so far</t>
  </si>
  <si>
    <t>total grist weight</t>
  </si>
  <si>
    <t>Sparge wate</t>
  </si>
  <si>
    <t>beer color based mash pH estimation</t>
  </si>
  <si>
    <t>water modification using salts</t>
  </si>
  <si>
    <t>added to</t>
  </si>
  <si>
    <t>Use this section to change the water profile by entering the desired amout of salts of salts. The drop down menu under "unit" allows you to select different units. If "g" is selected for unit a total water amount needs to be given in D32.</t>
  </si>
  <si>
    <t>Chalk dissolved</t>
  </si>
  <si>
    <t>CaCO3 + CO2</t>
  </si>
  <si>
    <t>Ca</t>
  </si>
  <si>
    <t>Mg</t>
  </si>
  <si>
    <t>Na</t>
  </si>
  <si>
    <t>SO4</t>
  </si>
  <si>
    <t>Cl</t>
  </si>
  <si>
    <t>HCO3</t>
  </si>
  <si>
    <t>pH shift from salts</t>
  </si>
  <si>
    <t>water treatment with lime</t>
  </si>
  <si>
    <t>If alkalinity reduction with slaked like is desired, this section is used to calculate it. Test the current water pH or leave it at the default 8.0. If a pH is given the estimation of the lime needed will be more accurate. Then enter the amount of water that will be treated. Since it is larger than the amount of brewing water there is a separate field for this. If the Calcium surplus is less than 10 ppm, add more calcium salts (gypsum or calcium chloride) in the “water modification using salts” section above. Once that is complete use the “necessary salt additions for lime treatment” box below to figure out how much salts and lime to add to the water. Once the water has cleared, test it with a GH&amp;KH test kit to determine the new general hardness (GH) and alkalinity (KH). Since most of these kits report these values as German Hardness, that unit is accepted as the only input.</t>
  </si>
  <si>
    <r>
      <t>to convert all alkalinity and carbonic acid to CO</t>
    </r>
    <r>
      <rPr>
        <vertAlign val="subscript"/>
        <sz val="10"/>
        <rFont val="Arial"/>
        <family val="2"/>
      </rPr>
      <t>3</t>
    </r>
    <r>
      <rPr>
        <vertAlign val="superscript"/>
        <sz val="10"/>
        <rFont val="Arial"/>
        <family val="2"/>
      </rPr>
      <t>2-</t>
    </r>
  </si>
  <si>
    <t>water pH before treatment</t>
  </si>
  <si>
    <t>lime needed</t>
  </si>
  <si>
    <t>water amount to be treated</t>
  </si>
  <si>
    <t>GH after treatment</t>
  </si>
  <si>
    <t>Ca surplus</t>
  </si>
  <si>
    <t>KH after treatment</t>
  </si>
  <si>
    <t>water treatment with boiling</t>
  </si>
  <si>
    <t>Alternatively, alkalinity can also be precipitated through boiling and this sections estimates the possible alkalinity reduction. Since the amount of water that is boiled will be more than what is used for brewing a seperate field exists for the treated amount. If the reported calcium level is below 10 ppm the water's calcium needs to be boosted throug the addition of calcium salts in B50 or E50. Note that these salt additions are calculated for the water volume that is boiled (E75) when this type of water treatment is selected. Select "yes" for E76 to select this water treatment. If the GH and KH values of the treated water are known, enter them into E77 and E78. Otherwise keep the fields blank and the estimtate is used instead.</t>
  </si>
  <si>
    <t>estimated alkalinity</t>
  </si>
  <si>
    <t xml:space="preserve">estimated calcium </t>
  </si>
  <si>
    <t>water amount being boiled</t>
  </si>
  <si>
    <t>no</t>
  </si>
  <si>
    <t>water is boiled to precipitate alkalinity</t>
  </si>
  <si>
    <t>KH after boiling (optional)</t>
  </si>
  <si>
    <t>after salt additions and lime/boiling treatment</t>
  </si>
  <si>
    <t>acid additions</t>
  </si>
  <si>
    <t>(strike water or mash only)</t>
  </si>
  <si>
    <t>In this section enter the acids you want to add to either the mash water or the grist. Various units are supported. The entered strength is also used for the sparge water acidification suggestion below.</t>
  </si>
  <si>
    <t>amount</t>
  </si>
  <si>
    <t>pH shift from acids</t>
  </si>
  <si>
    <t>pH change after water treatment and acids</t>
  </si>
  <si>
    <t xml:space="preserve">The resulting water profile in detail. The left most column shows the recommended ranges for the individual ions. Mineral concentrations are also given in units of German hardness and mEq/l but you don't have to worry about those. Water volume and grist weight is needd for a pH shift estimate. If grist information is given a mash pH estimate is also available. </t>
  </si>
  <si>
    <t>mEq/l Ca</t>
  </si>
  <si>
    <t>mEq/l Mg</t>
  </si>
  <si>
    <t xml:space="preserve"> as CaCO3</t>
  </si>
  <si>
    <t>mEq/l</t>
  </si>
  <si>
    <t>RA</t>
  </si>
  <si>
    <t>(mash only)</t>
  </si>
  <si>
    <t>pH shift</t>
  </si>
  <si>
    <t>necessary salt additions</t>
  </si>
  <si>
    <t>The weights of the individual salts needed to treat the water. They are given for strike and sparge water as well as the total water. Which of these weights you use depends on your brewing practice. Dissolved chalk will have to be dissolved with CO2 until the water is clear again.</t>
  </si>
  <si>
    <t>The volumes of lactic acid and weight of acid malt. The lactic acid and acidulated malt addition to the mash is based on the desired mash pH while the sparge water acid addition is only enough to create sparge water with a residual alkalinity of 0. Acidifying the spatrge water too much can lead to an excessively low boil pH.</t>
  </si>
  <si>
    <t>(only for eliminating alkalinity if desired)</t>
  </si>
  <si>
    <t>necessary salt additions for lime treatment</t>
  </si>
  <si>
    <t>This should be used instead of the “necessary salt additions” section to determine the amount of salt to be added to water that will be treated with slacked lime or is bolied for alkalinity reduction. When precipitating chalk it is always useful to add some (~1/2 tsp per 20l or 5 gal) chalk as well. This chalk will not dissolve but it will aid the precipitation of chalk by providing nucleation sites.</t>
  </si>
  <si>
    <t>lime</t>
  </si>
  <si>
    <t>as 5% lime milk</t>
  </si>
  <si>
    <t>dissolving chalk</t>
  </si>
  <si>
    <t>For those who decide to dissolve the chalk amounts given in I113, I114 and I115 this calculator allows to calculate the  minimum CO2 pressure needed to dissolve that chalk. Just enter the amount of water you want to dissolve the chalk in and the pressure will be calculated. Note that that pressure is an absolute pressure which means 1 bar or 14.5 psi is 100% CO2 at atmospheric pressure. The CO2 gauge on the regulator, however, measures pressure in excess of the atmospheric pressure. If the calculation returns 1.5 bar or 22 psi you need to set the regulator to at least 1.5 – 1 = 0.5 bar or 22 – 14.5 = 7.5 psi.More does not hurt. It should also be noted that the needed pressure increases very quickly with the chalk concentration that needs to be dissolved. As a result there is a practical limit to how little water can be used to dissolve the chalk needed for the desired water profile</t>
  </si>
  <si>
    <t>water</t>
  </si>
  <si>
    <t>conc.</t>
  </si>
  <si>
    <t>min CO2 pressure</t>
  </si>
  <si>
    <t>bar</t>
  </si>
  <si>
    <t>psi</t>
  </si>
  <si>
    <t>concentrated chalk water</t>
  </si>
  <si>
    <t>This is an option that is useful for brewers who decide to create a larger batch of dissolved chalk water (i.e. in a corny keg under CO2 pressure). It allows you to either enter the water volume and chalk weight of the initial batch or the chalk concentration in that batch. The output are volumes of chalk water that need to be part of the strike, sparge and/or total volume.</t>
  </si>
  <si>
    <t>batch volume</t>
  </si>
  <si>
    <t>chalk concentration</t>
  </si>
  <si>
    <t>chalk weight</t>
  </si>
  <si>
    <t>chalk water for mash</t>
  </si>
  <si>
    <t>chalk water for sparge</t>
  </si>
  <si>
    <t>chalk water total</t>
  </si>
  <si>
    <t>CO2 pressure needed</t>
  </si>
  <si>
    <t>yes</t>
  </si>
  <si>
    <t>units for hardness/alkalinity</t>
  </si>
  <si>
    <t>units for salt additions</t>
  </si>
  <si>
    <t>units for weight</t>
  </si>
  <si>
    <t>units for volumes</t>
  </si>
  <si>
    <t>"salts added to" options</t>
  </si>
  <si>
    <t>mash only</t>
  </si>
  <si>
    <t>"water profile" options</t>
  </si>
  <si>
    <t>strike water only</t>
  </si>
  <si>
    <t>version</t>
  </si>
  <si>
    <t>date</t>
  </si>
  <si>
    <t>change</t>
  </si>
  <si>
    <t>1.0</t>
  </si>
  <si>
    <t>initial version</t>
  </si>
  <si>
    <t>1.1</t>
  </si>
  <si>
    <t>removed RA as HCO3 as this is useless</t>
  </si>
  <si>
    <t>1.2</t>
  </si>
  <si>
    <t>added water profile as mEq/l</t>
  </si>
  <si>
    <t>Changed CaCO3 alkalinity contribution to 0.5</t>
  </si>
  <si>
    <t>1.3</t>
  </si>
  <si>
    <t>added acid malt additions</t>
  </si>
  <si>
    <t>1.4</t>
  </si>
  <si>
    <t xml:space="preserve">fixed some comments </t>
  </si>
  <si>
    <t>1.4i</t>
  </si>
  <si>
    <t>created mobile version</t>
  </si>
  <si>
    <t>1.5i</t>
  </si>
  <si>
    <t>minor format changes</t>
  </si>
  <si>
    <t>1.6</t>
  </si>
  <si>
    <t>added support for dissolved chalk and mash</t>
  </si>
  <si>
    <t>thickness dependent pH shift; merged mobile</t>
  </si>
  <si>
    <t>and desktop version</t>
  </si>
  <si>
    <t>1.7</t>
  </si>
  <si>
    <t>added simple water analysis support</t>
  </si>
  <si>
    <t>added support for the use of acids</t>
  </si>
  <si>
    <t>added pH estimation from beer SRM</t>
  </si>
  <si>
    <t>1.8</t>
  </si>
  <si>
    <t>fixed the salt calculations which didn't take US units into account</t>
  </si>
  <si>
    <t>fixed the effect of acids on the bicarbonate concentration and the alkalinity</t>
  </si>
  <si>
    <t>1.9</t>
  </si>
  <si>
    <t>fixed the lactic acid amount that was not carried over to the advanced sheet</t>
  </si>
  <si>
    <t>1.10</t>
  </si>
  <si>
    <t>the addition of acid was considered for more than just the bicarbonates which caused the pH shift calculation being incorrect</t>
  </si>
  <si>
    <t>1.11</t>
  </si>
  <si>
    <t>added a check that the mash thickness is in range for mash pH prediction</t>
  </si>
  <si>
    <t>1.12</t>
  </si>
  <si>
    <t>changed the algorithm for mash pH prediction to cover a larger range of mash thicknesses.</t>
  </si>
  <si>
    <t>1.13</t>
  </si>
  <si>
    <t>added reference to the article that explains the mash pH estimation</t>
  </si>
  <si>
    <t>1.14</t>
  </si>
  <si>
    <t>added support for lime treatment of brewing water</t>
  </si>
  <si>
    <t>1.15</t>
  </si>
  <si>
    <t>fixed the way the GH&amp;KH analysis is incorporated into the starting water analysis</t>
  </si>
  <si>
    <t>1.16</t>
  </si>
  <si>
    <t>fixed a bug in the acid calculation</t>
  </si>
  <si>
    <t>added labels to the intermediate water profile in the “salts” section</t>
  </si>
  <si>
    <t>1.17</t>
  </si>
  <si>
    <t>the detailed calculations for lime treatment were not looking at the GH and KH measurements from the post treatment water</t>
  </si>
  <si>
    <t>1.18</t>
  </si>
  <si>
    <t>fixed the copyright</t>
  </si>
  <si>
    <t>1.19</t>
  </si>
  <si>
    <t>fixed the names of the ions shown on the right hand side of the salt treatment section. CO4 and CL were reversed</t>
  </si>
  <si>
    <t>1.20</t>
  </si>
  <si>
    <t>fixed the calculation of the acid amount which was not taking the unit conversion into account</t>
  </si>
  <si>
    <t>1.21</t>
  </si>
  <si>
    <t>sparge water acid additions are only for compensating alkalinity</t>
  </si>
  <si>
    <t>reduced the amount of acid needed by 1/2 since experiments seem to indicate that</t>
  </si>
  <si>
    <t>1.5</t>
  </si>
  <si>
    <t>major layout update</t>
  </si>
  <si>
    <t>added support for phosphoric acid</t>
  </si>
  <si>
    <t>changed the way pH changes are reported</t>
  </si>
  <si>
    <t>added support for boiling water</t>
  </si>
  <si>
    <t>1.51</t>
  </si>
  <si>
    <t>added support for mash only salts</t>
  </si>
  <si>
    <t>update of instructions</t>
  </si>
  <si>
    <t>1.52</t>
  </si>
  <si>
    <t>updated the wording for roast %</t>
  </si>
  <si>
    <t>1.53</t>
  </si>
  <si>
    <t>updated the grist pH estimation formula to the one published on the web</t>
  </si>
  <si>
    <t>1.54</t>
  </si>
  <si>
    <t>fixed a bug that kept Mg content Div0 and added a warning if the specified water amount is 0 and salts are added in g since this also results in Div0</t>
  </si>
  <si>
    <t>total water used</t>
  </si>
  <si>
    <t>strike water</t>
  </si>
  <si>
    <t>sparge water</t>
  </si>
  <si>
    <t>strike/total ratio</t>
  </si>
  <si>
    <t>sparge/total ratio</t>
  </si>
  <si>
    <t>l/kg</t>
  </si>
  <si>
    <t>spH</t>
  </si>
  <si>
    <t>pH*l/mEq</t>
  </si>
  <si>
    <t>grist buffer capacity</t>
  </si>
  <si>
    <t>mEq/(pH*kg)</t>
  </si>
  <si>
    <t>pH change from base water</t>
  </si>
  <si>
    <t>total residual alkalinity in base mash water</t>
  </si>
  <si>
    <t>mg CaCO3</t>
  </si>
  <si>
    <t>mEq</t>
  </si>
  <si>
    <t>pH change</t>
  </si>
  <si>
    <t>salt additions converted to ppm</t>
  </si>
  <si>
    <t>water amount for salt additions</t>
  </si>
  <si>
    <t>if lime treatment or boiling is used the water amount entered there will be used</t>
  </si>
  <si>
    <t>gypsum</t>
  </si>
  <si>
    <t>epsom salt</t>
  </si>
  <si>
    <t>table salt</t>
  </si>
  <si>
    <t>calcium chloride</t>
  </si>
  <si>
    <t>magnesium chloride</t>
  </si>
  <si>
    <t>baking soda</t>
  </si>
  <si>
    <t>chalk (undissolved)</t>
  </si>
  <si>
    <t>chalk (dissolved)</t>
  </si>
  <si>
    <t>Ca Hardness from salts</t>
  </si>
  <si>
    <t>Mg Hardness from salts</t>
  </si>
  <si>
    <t>alkalinity from salts</t>
  </si>
  <si>
    <t>residual alkalinity from salts</t>
  </si>
  <si>
    <t>total residual alkalinity from salts</t>
  </si>
  <si>
    <t xml:space="preserve">pH change </t>
  </si>
  <si>
    <t>common info for lime treatment or boiling</t>
  </si>
  <si>
    <t>Starting Calcium content</t>
  </si>
  <si>
    <t>Starting Magnesium content</t>
  </si>
  <si>
    <t>Starting Alkalinity</t>
  </si>
  <si>
    <t>Starting pH</t>
  </si>
  <si>
    <t>Calcium atomic weight</t>
  </si>
  <si>
    <t>g/mol</t>
  </si>
  <si>
    <t>Magnesium atomic weight</t>
  </si>
  <si>
    <t>lime molaric weight</t>
  </si>
  <si>
    <t>Calcium hardness</t>
  </si>
  <si>
    <t>Magnesium hardness</t>
  </si>
  <si>
    <t xml:space="preserve">lime treatment </t>
  </si>
  <si>
    <t>total water volume treated with lime</t>
  </si>
  <si>
    <t>Carbonic acid pKa1</t>
  </si>
  <si>
    <t>Carbonic acid pKa2</t>
  </si>
  <si>
    <t>r1</t>
  </si>
  <si>
    <t>r2</t>
  </si>
  <si>
    <t>[H2CO3 and CO2]</t>
  </si>
  <si>
    <t>mmol/l</t>
  </si>
  <si>
    <t>[HCO3-]</t>
  </si>
  <si>
    <t>[CO3-]</t>
  </si>
  <si>
    <t>[OH] needed to convert everything to [CO3-]</t>
  </si>
  <si>
    <t>lime needed for this amount of [OH]</t>
  </si>
  <si>
    <t>lime concentration</t>
  </si>
  <si>
    <t>resulting hardness (measured)</t>
  </si>
  <si>
    <t>resulting alkalinity (measured)</t>
  </si>
  <si>
    <t>new Ca hardness</t>
  </si>
  <si>
    <t>new calcium content</t>
  </si>
  <si>
    <t>post lime treatment alkalinity</t>
  </si>
  <si>
    <t>water boiling</t>
  </si>
  <si>
    <t>alkalinity - CH</t>
  </si>
  <si>
    <t>mEg/l</t>
  </si>
  <si>
    <t>estimated post boil alkalinity</t>
  </si>
  <si>
    <t>alkalinity drop</t>
  </si>
  <si>
    <t>estimated post boil CH</t>
  </si>
  <si>
    <t>CH surplus</t>
  </si>
  <si>
    <t>measured KH</t>
  </si>
  <si>
    <t>post boil alkalinity</t>
  </si>
  <si>
    <t>post boil alkalinity drop</t>
  </si>
  <si>
    <t>post boil CH</t>
  </si>
  <si>
    <t>after salt additions and lime treatment/boiling</t>
  </si>
  <si>
    <t>final alkalinity</t>
  </si>
  <si>
    <t>final Ca hardness</t>
  </si>
  <si>
    <t>Mg Hardness</t>
  </si>
  <si>
    <t>total residual alkalinity in mash water after adding salts</t>
  </si>
  <si>
    <t>lactic acid density</t>
  </si>
  <si>
    <t>kg/l</t>
  </si>
  <si>
    <t>lactic acid solution weight</t>
  </si>
  <si>
    <t>lactic acid weight from liquid lactic acid</t>
  </si>
  <si>
    <t>lactic acid from acid malt</t>
  </si>
  <si>
    <t>total acid malt power</t>
  </si>
  <si>
    <t>total lactic acid weight</t>
  </si>
  <si>
    <t>lactic acid per kg grist</t>
  </si>
  <si>
    <t>mg/kg</t>
  </si>
  <si>
    <t>lactic acid per l water</t>
  </si>
  <si>
    <t>phosphoric acid density</t>
  </si>
  <si>
    <t>phosporic acid solution weight</t>
  </si>
  <si>
    <t>phosphoric acid from liquid phosphoric acid</t>
  </si>
  <si>
    <t>phosphoric acid power</t>
  </si>
  <si>
    <t>mash pH change from acid additions</t>
  </si>
  <si>
    <t>acid malt weight</t>
  </si>
  <si>
    <t>acid neutralization in mash water</t>
  </si>
  <si>
    <t>total alkalinity in the mash water after adding acids</t>
  </si>
  <si>
    <t>total residual alkalinity after adding acids</t>
  </si>
  <si>
    <t>bicarbonates</t>
  </si>
  <si>
    <t>bicarbonates only exist if the alkalinity is positive</t>
  </si>
  <si>
    <t>strike water profile</t>
  </si>
  <si>
    <t xml:space="preserve">Ca </t>
  </si>
  <si>
    <t>Alkalinity</t>
  </si>
  <si>
    <t>Residual Alkalinity</t>
  </si>
  <si>
    <t>overall water profile</t>
  </si>
  <si>
    <t>chalk water + CO2</t>
  </si>
  <si>
    <t>concentrated chalk water batch volume</t>
  </si>
  <si>
    <t>amount of chalk water needed for mash</t>
  </si>
  <si>
    <t>amount of chalk water needed for sparge</t>
  </si>
  <si>
    <t>amount of chalk water needed for all</t>
  </si>
  <si>
    <t>distilled water mash pH estimation</t>
  </si>
  <si>
    <t>pH_0SRM</t>
  </si>
  <si>
    <t>S_c</t>
  </si>
  <si>
    <t>S_r</t>
  </si>
  <si>
    <t>P</t>
  </si>
  <si>
    <t>Plato</t>
  </si>
  <si>
    <t>r</t>
  </si>
  <si>
    <t>DI pH is calculated as pH_0SRM – 1/P(S_c*(1-r)+S_r*r)SRM</t>
  </si>
  <si>
    <t>sparge water alkalinity reduction</t>
  </si>
  <si>
    <t>water residual alkalinity</t>
  </si>
  <si>
    <t>sparge water amount</t>
  </si>
  <si>
    <t>alkalinity in need of neutralization</t>
  </si>
  <si>
    <t>lactic aicid needed</t>
  </si>
  <si>
    <t>phosporic acid needed</t>
  </si>
  <si>
    <t>lactic acid content of acid malt</t>
  </si>
  <si>
    <t>% w/w</t>
  </si>
  <si>
    <t>DI pH assumption for specialty malt</t>
  </si>
  <si>
    <t>assumed Mg contribution to tested GH</t>
  </si>
  <si>
    <t>mash buffer capacity for water residual alkalinity</t>
  </si>
  <si>
    <t>mash buffer capacity for acid additions</t>
  </si>
  <si>
    <t>88% lactic acid density</t>
  </si>
  <si>
    <t>85% phosphoric acid density</t>
  </si>
  <si>
    <t>lactic acid molar weight</t>
  </si>
  <si>
    <t>phosphoric acid molecular weight</t>
  </si>
  <si>
    <t>gypsum specific weight</t>
  </si>
  <si>
    <t>g/tsp</t>
  </si>
  <si>
    <t>epsom salt specific weight</t>
  </si>
  <si>
    <t>table salt specific weight</t>
  </si>
  <si>
    <t>calcium chloride specific weight</t>
  </si>
  <si>
    <t>baking soda specific weight</t>
  </si>
  <si>
    <t>chalk</t>
  </si>
  <si>
    <t>lower alkalinity limit for boling</t>
  </si>
  <si>
    <t>Various tables that can be printed or captured in a screen-shot</t>
  </si>
  <si>
    <t xml:space="preserve">base water </t>
  </si>
  <si>
    <t>water profile</t>
  </si>
  <si>
    <t>water A</t>
  </si>
  <si>
    <t>water B</t>
  </si>
  <si>
    <t>blended</t>
  </si>
  <si>
    <t>ppm Ca</t>
  </si>
  <si>
    <t>ppm Mg</t>
  </si>
  <si>
    <t>ppm Na</t>
  </si>
  <si>
    <t>ppm SO4</t>
  </si>
  <si>
    <t>ppm Cl</t>
  </si>
  <si>
    <t>ppm HCO3</t>
  </si>
  <si>
    <t>alkalinity as ppm CaCO3</t>
  </si>
  <si>
    <t>residual alkalinity as ppm CaCO3</t>
  </si>
  <si>
    <t>g/l</t>
  </si>
  <si>
    <t>g/gal</t>
  </si>
  <si>
    <t>Gypsum</t>
  </si>
  <si>
    <t>Epsom salt</t>
  </si>
  <si>
    <t>Table salt</t>
  </si>
  <si>
    <t>Calcium chloride</t>
  </si>
  <si>
    <t>Magnesium chloride</t>
  </si>
  <si>
    <t>Chalk (undissolved)</t>
  </si>
  <si>
    <t>Chalk (dissolved)</t>
  </si>
  <si>
    <t>resulting water</t>
  </si>
  <si>
    <t>RA as CaCO3</t>
  </si>
  <si>
    <t>1.55</t>
  </si>
  <si>
    <t>unprotected the "unit" field on the basic sheet</t>
  </si>
  <si>
    <t>1.56</t>
  </si>
  <si>
    <t>linked KH and GH on the advaced sheet with the basic sheet</t>
  </si>
  <si>
    <t>1.57</t>
  </si>
  <si>
    <t>linked units for salts to be added on the advanced sheet to the basic sheet, minor format changes</t>
  </si>
  <si>
    <t>1.58</t>
  </si>
  <si>
    <t>removed the mash thickness restricton for mash pH prediction</t>
  </si>
  <si>
    <t>V1.58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</si>
</sst>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
    <numFmt numFmtId="168" formatCode="0.0000"/>
    <numFmt numFmtId="169" formatCode="m/d/yy"/>
    <numFmt numFmtId="170" formatCode="mm/dd/yy"/>
  </numFmts>
  <fonts count="59">
    <font>
      <sz val="10"/>
      <name val="Arial"/>
      <family val="2"/>
    </font>
    <font>
      <b/>
      <sz val="14"/>
      <name val="Arial"/>
      <family val="2"/>
    </font>
    <font>
      <b/>
      <sz val="16"/>
      <name val="Arial"/>
      <family val="2"/>
    </font>
    <font>
      <b/>
      <sz val="12"/>
      <name val="Arial"/>
      <family val="2"/>
    </font>
    <font>
      <b/>
      <sz val="10"/>
      <name val="Arial"/>
      <family val="2"/>
    </font>
    <font>
      <sz val="10"/>
      <color indexed="55"/>
      <name val="Arial"/>
      <family val="2"/>
    </font>
    <font>
      <sz val="8"/>
      <color indexed="55"/>
      <name val="Arial"/>
      <family val="2"/>
    </font>
    <font>
      <b/>
      <sz val="8"/>
      <name val="Arial"/>
      <family val="2"/>
    </font>
    <font>
      <sz val="8"/>
      <name val="Arial"/>
      <family val="2"/>
    </font>
    <font>
      <sz val="8"/>
      <color indexed="23"/>
      <name val="Arial"/>
      <family val="2"/>
    </font>
    <font>
      <sz val="10"/>
      <color indexed="8"/>
      <name val="Tahoma"/>
      <family val="2"/>
    </font>
    <font>
      <b/>
      <sz val="9"/>
      <color indexed="10"/>
      <name val="Arial"/>
      <family val="2"/>
    </font>
    <font>
      <i/>
      <sz val="8"/>
      <name val="Arial"/>
      <family val="2"/>
    </font>
    <font>
      <b/>
      <sz val="10"/>
      <color indexed="60"/>
      <name val="Arial"/>
      <family val="2"/>
    </font>
    <font>
      <sz val="10"/>
      <color indexed="60"/>
      <name val="Arial"/>
      <family val="2"/>
    </font>
    <font>
      <sz val="8"/>
      <color indexed="12"/>
      <name val="Arial"/>
      <family val="2"/>
    </font>
    <font>
      <sz val="10"/>
      <color indexed="26"/>
      <name val="Arial"/>
      <family val="2"/>
    </font>
    <font>
      <b/>
      <sz val="10"/>
      <color indexed="10"/>
      <name val="Arial"/>
      <family val="2"/>
    </font>
    <font>
      <vertAlign val="subscript"/>
      <sz val="10"/>
      <name val="Arial"/>
      <family val="2"/>
    </font>
    <font>
      <vertAlign val="superscript"/>
      <sz val="10"/>
      <name val="Arial"/>
      <family val="2"/>
    </font>
    <font>
      <sz val="10"/>
      <color indexed="8"/>
      <name val="Arial"/>
      <family val="2"/>
    </font>
    <font>
      <sz val="10"/>
      <color indexed="23"/>
      <name val="Arial"/>
      <family val="2"/>
    </font>
    <font>
      <b/>
      <sz val="10"/>
      <color indexed="55"/>
      <name val="Arial"/>
      <family val="2"/>
    </font>
    <font>
      <sz val="10"/>
      <color indexed="22"/>
      <name val="Arial"/>
      <family val="2"/>
    </font>
    <font>
      <sz val="12"/>
      <name val="Arial"/>
      <family val="2"/>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medium">
        <color indexed="8"/>
      </bottom>
    </border>
    <border>
      <left>
        <color indexed="63"/>
      </left>
      <right>
        <color indexed="63"/>
      </right>
      <top style="medium">
        <color indexed="8"/>
      </top>
      <bottom style="thin">
        <color indexed="8"/>
      </bottom>
    </border>
    <border>
      <left style="thin">
        <color indexed="8"/>
      </left>
      <right style="medium">
        <color indexed="8"/>
      </right>
      <top>
        <color indexed="63"/>
      </top>
      <bottom>
        <color indexed="63"/>
      </bottom>
    </border>
    <border>
      <left>
        <color indexed="63"/>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color indexed="63"/>
      </right>
      <top>
        <color indexed="63"/>
      </top>
      <bottom style="hair">
        <color indexed="8"/>
      </bottom>
    </border>
    <border>
      <left style="thin">
        <color indexed="8"/>
      </left>
      <right style="thin">
        <color indexed="8"/>
      </right>
      <top>
        <color indexed="63"/>
      </top>
      <bottom style="medium">
        <color indexed="8"/>
      </bottom>
    </border>
    <border>
      <left>
        <color indexed="63"/>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thick">
        <color indexed="8"/>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right style="thin"/>
      <top style="thin"/>
      <bottom style="thin"/>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02">
    <xf numFmtId="0" fontId="0" fillId="0" borderId="0" xfId="0" applyAlignment="1">
      <alignment/>
    </xf>
    <xf numFmtId="0" fontId="0" fillId="0" borderId="0" xfId="0" applyNumberFormat="1" applyFont="1" applyFill="1" applyBorder="1" applyAlignment="1" applyProtection="1">
      <alignment/>
      <protection hidden="1"/>
    </xf>
    <xf numFmtId="0" fontId="0" fillId="0" borderId="0" xfId="0" applyAlignment="1" applyProtection="1">
      <alignment/>
      <protection hidden="1"/>
    </xf>
    <xf numFmtId="0" fontId="1" fillId="0" borderId="0" xfId="0" applyNumberFormat="1" applyFont="1" applyFill="1" applyBorder="1" applyAlignment="1" applyProtection="1">
      <alignment/>
      <protection hidden="1"/>
    </xf>
    <xf numFmtId="0" fontId="2" fillId="0" borderId="0" xfId="0" applyNumberFormat="1" applyFont="1" applyFill="1" applyBorder="1" applyAlignment="1" applyProtection="1">
      <alignment/>
      <protection hidden="1"/>
    </xf>
    <xf numFmtId="0" fontId="3" fillId="0" borderId="0" xfId="0" applyNumberFormat="1" applyFont="1" applyFill="1" applyBorder="1" applyAlignment="1" applyProtection="1">
      <alignment horizontal="center"/>
      <protection hidden="1"/>
    </xf>
    <xf numFmtId="0" fontId="0" fillId="33" borderId="10" xfId="0" applyNumberFormat="1" applyFont="1" applyFill="1" applyBorder="1" applyAlignment="1" applyProtection="1">
      <alignment/>
      <protection hidden="1"/>
    </xf>
    <xf numFmtId="0" fontId="0" fillId="34" borderId="10" xfId="0" applyNumberFormat="1" applyFont="1" applyFill="1" applyBorder="1" applyAlignment="1" applyProtection="1">
      <alignment/>
      <protection hidden="1"/>
    </xf>
    <xf numFmtId="0" fontId="0" fillId="0" borderId="11" xfId="0" applyNumberFormat="1" applyFont="1" applyFill="1" applyBorder="1" applyAlignment="1" applyProtection="1">
      <alignment/>
      <protection hidden="1"/>
    </xf>
    <xf numFmtId="0" fontId="0" fillId="0" borderId="12" xfId="0" applyNumberFormat="1" applyFont="1" applyFill="1" applyBorder="1" applyAlignment="1" applyProtection="1">
      <alignment horizontal="right"/>
      <protection hidden="1"/>
    </xf>
    <xf numFmtId="0" fontId="0" fillId="33" borderId="13" xfId="0" applyFont="1" applyFill="1" applyBorder="1" applyAlignment="1" applyProtection="1">
      <alignment horizontal="center"/>
      <protection locked="0"/>
    </xf>
    <xf numFmtId="0" fontId="0" fillId="0" borderId="0" xfId="0" applyNumberFormat="1" applyFont="1" applyFill="1" applyBorder="1" applyAlignment="1" applyProtection="1">
      <alignment wrapText="1"/>
      <protection hidden="1"/>
    </xf>
    <xf numFmtId="0" fontId="0" fillId="0" borderId="14" xfId="0" applyNumberFormat="1" applyFont="1" applyFill="1" applyBorder="1" applyAlignment="1" applyProtection="1">
      <alignment/>
      <protection hidden="1"/>
    </xf>
    <xf numFmtId="0" fontId="0" fillId="0" borderId="15" xfId="0" applyNumberFormat="1" applyFont="1" applyFill="1" applyBorder="1" applyAlignment="1" applyProtection="1">
      <alignment horizontal="right"/>
      <protection hidden="1"/>
    </xf>
    <xf numFmtId="0" fontId="0" fillId="33" borderId="16"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right"/>
      <protection hidden="1"/>
    </xf>
    <xf numFmtId="0" fontId="0" fillId="0" borderId="0" xfId="0" applyNumberFormat="1" applyFill="1" applyBorder="1" applyAlignment="1" applyProtection="1">
      <alignment horizontal="center"/>
      <protection hidden="1"/>
    </xf>
    <xf numFmtId="0" fontId="0" fillId="35" borderId="17" xfId="0" applyNumberFormat="1" applyFont="1" applyFill="1" applyBorder="1" applyAlignment="1" applyProtection="1">
      <alignment/>
      <protection hidden="1"/>
    </xf>
    <xf numFmtId="0" fontId="1" fillId="35" borderId="18" xfId="0" applyNumberFormat="1" applyFont="1" applyFill="1" applyBorder="1" applyAlignment="1" applyProtection="1">
      <alignment/>
      <protection hidden="1"/>
    </xf>
    <xf numFmtId="0" fontId="1" fillId="35" borderId="18" xfId="0" applyNumberFormat="1" applyFont="1" applyFill="1" applyBorder="1" applyAlignment="1" applyProtection="1">
      <alignment horizontal="right"/>
      <protection hidden="1"/>
    </xf>
    <xf numFmtId="0" fontId="0" fillId="35" borderId="18" xfId="0" applyNumberFormat="1" applyFill="1" applyBorder="1" applyAlignment="1" applyProtection="1">
      <alignment horizontal="center"/>
      <protection hidden="1"/>
    </xf>
    <xf numFmtId="0" fontId="0" fillId="35" borderId="18" xfId="0" applyNumberFormat="1" applyFont="1" applyFill="1" applyBorder="1" applyAlignment="1" applyProtection="1">
      <alignment/>
      <protection hidden="1"/>
    </xf>
    <xf numFmtId="0" fontId="0" fillId="35" borderId="19" xfId="0" applyNumberFormat="1" applyFont="1" applyFill="1" applyBorder="1" applyAlignment="1" applyProtection="1">
      <alignment/>
      <protection hidden="1"/>
    </xf>
    <xf numFmtId="0" fontId="0" fillId="0" borderId="0" xfId="0" applyNumberFormat="1" applyFont="1" applyFill="1" applyBorder="1" applyAlignment="1" applyProtection="1">
      <alignment horizontal="left" vertical="top" wrapText="1"/>
      <protection hidden="1"/>
    </xf>
    <xf numFmtId="0" fontId="0" fillId="35" borderId="20" xfId="0" applyNumberFormat="1" applyFont="1" applyFill="1" applyBorder="1" applyAlignment="1" applyProtection="1">
      <alignment/>
      <protection hidden="1"/>
    </xf>
    <xf numFmtId="0" fontId="0" fillId="35" borderId="21" xfId="0" applyNumberFormat="1" applyFont="1" applyFill="1" applyBorder="1" applyAlignment="1" applyProtection="1">
      <alignment/>
      <protection hidden="1"/>
    </xf>
    <xf numFmtId="0" fontId="0" fillId="35" borderId="0" xfId="0" applyNumberFormat="1" applyFont="1" applyFill="1" applyBorder="1" applyAlignment="1" applyProtection="1">
      <alignment/>
      <protection hidden="1"/>
    </xf>
    <xf numFmtId="0" fontId="0" fillId="35" borderId="22" xfId="0" applyNumberFormat="1" applyFont="1" applyFill="1" applyBorder="1" applyAlignment="1" applyProtection="1">
      <alignment/>
      <protection hidden="1"/>
    </xf>
    <xf numFmtId="0" fontId="0" fillId="0" borderId="17" xfId="0" applyBorder="1" applyAlignment="1" applyProtection="1">
      <alignment/>
      <protection hidden="1"/>
    </xf>
    <xf numFmtId="0" fontId="3" fillId="0" borderId="18" xfId="0" applyFont="1" applyBorder="1" applyAlignment="1" applyProtection="1">
      <alignment/>
      <protection hidden="1"/>
    </xf>
    <xf numFmtId="0" fontId="0" fillId="0" borderId="18" xfId="0" applyBorder="1" applyAlignment="1" applyProtection="1">
      <alignment/>
      <protection hidden="1"/>
    </xf>
    <xf numFmtId="0" fontId="0" fillId="0" borderId="19" xfId="0" applyBorder="1" applyAlignment="1" applyProtection="1">
      <alignment/>
      <protection hidden="1"/>
    </xf>
    <xf numFmtId="0" fontId="0" fillId="0" borderId="0" xfId="0" applyNumberFormat="1" applyFont="1" applyFill="1" applyBorder="1" applyAlignment="1" applyProtection="1">
      <alignment vertical="top" wrapText="1"/>
      <protection hidden="1"/>
    </xf>
    <xf numFmtId="0" fontId="0" fillId="0" borderId="20" xfId="0" applyBorder="1" applyAlignment="1" applyProtection="1">
      <alignment/>
      <protection hidden="1"/>
    </xf>
    <xf numFmtId="0" fontId="0" fillId="0" borderId="0" xfId="0" applyFont="1" applyBorder="1" applyAlignment="1" applyProtection="1">
      <alignment horizontal="center"/>
      <protection hidden="1"/>
    </xf>
    <xf numFmtId="0" fontId="0" fillId="0" borderId="0" xfId="0" applyBorder="1" applyAlignment="1" applyProtection="1">
      <alignment/>
      <protection hidden="1"/>
    </xf>
    <xf numFmtId="0" fontId="0" fillId="0" borderId="0" xfId="0" applyFont="1" applyBorder="1" applyAlignment="1" applyProtection="1">
      <alignment horizontal="right"/>
      <protection hidden="1"/>
    </xf>
    <xf numFmtId="1" fontId="0" fillId="34" borderId="10" xfId="0" applyNumberFormat="1" applyFill="1" applyBorder="1" applyAlignment="1" applyProtection="1">
      <alignment horizontal="center"/>
      <protection hidden="1"/>
    </xf>
    <xf numFmtId="0" fontId="0" fillId="0" borderId="22" xfId="0" applyBorder="1" applyAlignment="1" applyProtection="1">
      <alignment/>
      <protection hidden="1"/>
    </xf>
    <xf numFmtId="0" fontId="0" fillId="0" borderId="20" xfId="0" applyBorder="1" applyAlignment="1" applyProtection="1">
      <alignment horizontal="right"/>
      <protection hidden="1"/>
    </xf>
    <xf numFmtId="0" fontId="0" fillId="33" borderId="10" xfId="0" applyNumberFormat="1" applyFont="1" applyFill="1" applyBorder="1" applyAlignment="1" applyProtection="1">
      <alignment horizontal="center"/>
      <protection locked="0"/>
    </xf>
    <xf numFmtId="0" fontId="0" fillId="0" borderId="23" xfId="0" applyBorder="1" applyAlignment="1" applyProtection="1">
      <alignment/>
      <protection hidden="1"/>
    </xf>
    <xf numFmtId="0" fontId="0" fillId="0" borderId="21" xfId="0" applyBorder="1" applyAlignment="1" applyProtection="1">
      <alignment/>
      <protection hidden="1"/>
    </xf>
    <xf numFmtId="0" fontId="0" fillId="0" borderId="21" xfId="0" applyFont="1" applyBorder="1" applyAlignment="1" applyProtection="1">
      <alignment horizontal="right"/>
      <protection hidden="1"/>
    </xf>
    <xf numFmtId="1" fontId="0" fillId="0" borderId="21" xfId="0" applyNumberFormat="1" applyFill="1" applyBorder="1" applyAlignment="1" applyProtection="1">
      <alignment horizontal="center"/>
      <protection hidden="1"/>
    </xf>
    <xf numFmtId="0" fontId="0" fillId="0" borderId="24" xfId="0" applyBorder="1" applyAlignment="1" applyProtection="1">
      <alignment/>
      <protection hidden="1"/>
    </xf>
    <xf numFmtId="0" fontId="0" fillId="0" borderId="17" xfId="0" applyNumberFormat="1" applyFont="1" applyFill="1" applyBorder="1" applyAlignment="1" applyProtection="1">
      <alignment/>
      <protection hidden="1"/>
    </xf>
    <xf numFmtId="0" fontId="3" fillId="0" borderId="18" xfId="0" applyNumberFormat="1" applyFont="1" applyFill="1" applyBorder="1" applyAlignment="1" applyProtection="1">
      <alignment/>
      <protection hidden="1"/>
    </xf>
    <xf numFmtId="0" fontId="4" fillId="0" borderId="18" xfId="0" applyNumberFormat="1" applyFont="1" applyFill="1" applyBorder="1" applyAlignment="1" applyProtection="1">
      <alignment/>
      <protection hidden="1"/>
    </xf>
    <xf numFmtId="0" fontId="0" fillId="0" borderId="18" xfId="0" applyNumberFormat="1" applyFont="1" applyFill="1" applyBorder="1" applyAlignment="1" applyProtection="1">
      <alignment/>
      <protection hidden="1"/>
    </xf>
    <xf numFmtId="0" fontId="0" fillId="0" borderId="19" xfId="0" applyNumberFormat="1" applyFont="1" applyFill="1" applyBorder="1" applyAlignment="1" applyProtection="1">
      <alignment/>
      <protection hidden="1"/>
    </xf>
    <xf numFmtId="0" fontId="0" fillId="0" borderId="20" xfId="0" applyNumberFormat="1" applyFont="1" applyFill="1" applyBorder="1" applyAlignment="1" applyProtection="1">
      <alignment/>
      <protection hidden="1"/>
    </xf>
    <xf numFmtId="164" fontId="5" fillId="34" borderId="10" xfId="0" applyNumberFormat="1" applyFont="1" applyFill="1" applyBorder="1" applyAlignment="1" applyProtection="1">
      <alignment horizontal="center"/>
      <protection hidden="1"/>
    </xf>
    <xf numFmtId="0" fontId="6" fillId="0" borderId="0" xfId="0" applyNumberFormat="1" applyFont="1" applyFill="1" applyBorder="1" applyAlignment="1" applyProtection="1">
      <alignment/>
      <protection hidden="1"/>
    </xf>
    <xf numFmtId="0" fontId="0" fillId="0" borderId="22" xfId="0" applyNumberFormat="1" applyFont="1" applyFill="1" applyBorder="1" applyAlignment="1" applyProtection="1">
      <alignment/>
      <protection hidden="1"/>
    </xf>
    <xf numFmtId="0" fontId="7" fillId="0" borderId="0" xfId="0" applyNumberFormat="1" applyFont="1" applyFill="1" applyBorder="1" applyAlignment="1" applyProtection="1">
      <alignment horizontal="center"/>
      <protection hidden="1"/>
    </xf>
    <xf numFmtId="0" fontId="8" fillId="0" borderId="0" xfId="0" applyNumberFormat="1" applyFont="1" applyFill="1" applyBorder="1" applyAlignment="1" applyProtection="1">
      <alignment horizontal="center"/>
      <protection hidden="1"/>
    </xf>
    <xf numFmtId="0" fontId="5" fillId="0" borderId="0" xfId="0" applyNumberFormat="1" applyFont="1" applyFill="1" applyBorder="1" applyAlignment="1" applyProtection="1">
      <alignment/>
      <protection hidden="1"/>
    </xf>
    <xf numFmtId="0" fontId="0" fillId="0" borderId="20" xfId="0" applyFont="1" applyBorder="1" applyAlignment="1" applyProtection="1">
      <alignment horizontal="right"/>
      <protection hidden="1"/>
    </xf>
    <xf numFmtId="164" fontId="0" fillId="33" borderId="10" xfId="0" applyNumberFormat="1" applyFont="1" applyFill="1" applyBorder="1" applyAlignment="1" applyProtection="1">
      <alignment horizontal="center"/>
      <protection locked="0"/>
    </xf>
    <xf numFmtId="164" fontId="0" fillId="34" borderId="10" xfId="0" applyNumberFormat="1" applyFont="1" applyFill="1" applyBorder="1" applyAlignment="1" applyProtection="1">
      <alignment horizontal="center"/>
      <protection hidden="1"/>
    </xf>
    <xf numFmtId="0" fontId="8" fillId="0" borderId="0" xfId="0" applyNumberFormat="1" applyFont="1" applyFill="1" applyBorder="1" applyAlignment="1" applyProtection="1">
      <alignment horizontal="left"/>
      <protection hidden="1"/>
    </xf>
    <xf numFmtId="0" fontId="8" fillId="0" borderId="20" xfId="0" applyFont="1" applyBorder="1" applyAlignment="1" applyProtection="1">
      <alignment horizontal="right"/>
      <protection hidden="1"/>
    </xf>
    <xf numFmtId="0" fontId="8" fillId="33" borderId="0" xfId="0" applyNumberFormat="1" applyFont="1" applyFill="1" applyBorder="1" applyAlignment="1" applyProtection="1">
      <alignment horizontal="left"/>
      <protection locked="0"/>
    </xf>
    <xf numFmtId="164" fontId="0" fillId="0" borderId="0" xfId="0" applyNumberFormat="1" applyFont="1" applyFill="1" applyBorder="1" applyAlignment="1" applyProtection="1">
      <alignment horizontal="center"/>
      <protection hidden="1"/>
    </xf>
    <xf numFmtId="0" fontId="0" fillId="0" borderId="0" xfId="0" applyNumberFormat="1" applyFont="1" applyFill="1" applyBorder="1" applyAlignment="1" applyProtection="1">
      <alignment horizontal="center"/>
      <protection hidden="1"/>
    </xf>
    <xf numFmtId="0" fontId="8" fillId="0" borderId="0" xfId="0" applyNumberFormat="1" applyFont="1" applyFill="1" applyBorder="1" applyAlignment="1" applyProtection="1">
      <alignment horizontal="right"/>
      <protection hidden="1"/>
    </xf>
    <xf numFmtId="0" fontId="0" fillId="0" borderId="21" xfId="0" applyNumberFormat="1" applyFont="1" applyFill="1" applyBorder="1" applyAlignment="1" applyProtection="1">
      <alignment/>
      <protection hidden="1"/>
    </xf>
    <xf numFmtId="1" fontId="0" fillId="0" borderId="21" xfId="0" applyNumberFormat="1" applyFont="1" applyFill="1" applyBorder="1" applyAlignment="1" applyProtection="1">
      <alignment horizontal="center"/>
      <protection hidden="1"/>
    </xf>
    <xf numFmtId="0" fontId="0" fillId="0" borderId="21" xfId="0" applyFont="1" applyBorder="1" applyAlignment="1" applyProtection="1">
      <alignment/>
      <protection hidden="1"/>
    </xf>
    <xf numFmtId="2" fontId="0" fillId="35" borderId="22" xfId="0" applyNumberFormat="1" applyFont="1" applyFill="1" applyBorder="1" applyAlignment="1" applyProtection="1">
      <alignment/>
      <protection hidden="1"/>
    </xf>
    <xf numFmtId="2" fontId="0" fillId="0" borderId="0" xfId="0" applyNumberFormat="1" applyFont="1" applyFill="1" applyBorder="1" applyAlignment="1" applyProtection="1">
      <alignment/>
      <protection hidden="1"/>
    </xf>
    <xf numFmtId="0" fontId="0" fillId="35" borderId="20" xfId="0" applyFill="1" applyBorder="1" applyAlignment="1" applyProtection="1">
      <alignment/>
      <protection hidden="1"/>
    </xf>
    <xf numFmtId="0" fontId="0" fillId="35" borderId="0" xfId="0" applyFill="1" applyBorder="1" applyAlignment="1" applyProtection="1">
      <alignment/>
      <protection hidden="1"/>
    </xf>
    <xf numFmtId="0" fontId="0" fillId="35" borderId="22" xfId="0" applyFill="1" applyBorder="1" applyAlignment="1" applyProtection="1">
      <alignment/>
      <protection hidden="1"/>
    </xf>
    <xf numFmtId="0" fontId="0" fillId="35" borderId="23" xfId="0" applyNumberFormat="1" applyFont="1" applyFill="1" applyBorder="1" applyAlignment="1" applyProtection="1">
      <alignment/>
      <protection hidden="1"/>
    </xf>
    <xf numFmtId="0" fontId="0" fillId="35" borderId="21" xfId="0" applyFill="1" applyBorder="1" applyAlignment="1" applyProtection="1">
      <alignment/>
      <protection hidden="1"/>
    </xf>
    <xf numFmtId="0" fontId="0" fillId="35" borderId="21" xfId="0" applyNumberFormat="1" applyFont="1" applyFill="1" applyBorder="1" applyAlignment="1" applyProtection="1">
      <alignment horizontal="right"/>
      <protection hidden="1"/>
    </xf>
    <xf numFmtId="2" fontId="0" fillId="34" borderId="25" xfId="0" applyNumberFormat="1" applyFill="1" applyBorder="1" applyAlignment="1" applyProtection="1">
      <alignment horizontal="center"/>
      <protection hidden="1"/>
    </xf>
    <xf numFmtId="1" fontId="0" fillId="35" borderId="21" xfId="0" applyNumberFormat="1" applyFont="1" applyFill="1" applyBorder="1" applyAlignment="1" applyProtection="1">
      <alignment horizontal="center"/>
      <protection hidden="1"/>
    </xf>
    <xf numFmtId="0" fontId="0" fillId="35" borderId="21" xfId="0" applyFont="1" applyFill="1" applyBorder="1" applyAlignment="1" applyProtection="1">
      <alignment/>
      <protection hidden="1"/>
    </xf>
    <xf numFmtId="2" fontId="0" fillId="35" borderId="24" xfId="0" applyNumberFormat="1" applyFont="1" applyFill="1" applyBorder="1" applyAlignment="1" applyProtection="1">
      <alignment/>
      <protection hidden="1"/>
    </xf>
    <xf numFmtId="0" fontId="0" fillId="0" borderId="0" xfId="0" applyFill="1" applyBorder="1" applyAlignment="1" applyProtection="1">
      <alignment/>
      <protection hidden="1"/>
    </xf>
    <xf numFmtId="1" fontId="0" fillId="0" borderId="0" xfId="0" applyNumberFormat="1" applyFont="1" applyFill="1" applyBorder="1" applyAlignment="1" applyProtection="1">
      <alignment horizontal="center"/>
      <protection hidden="1"/>
    </xf>
    <xf numFmtId="0" fontId="0" fillId="0" borderId="0" xfId="0" applyFont="1" applyFill="1" applyBorder="1" applyAlignment="1" applyProtection="1">
      <alignment/>
      <protection hidden="1"/>
    </xf>
    <xf numFmtId="0" fontId="0" fillId="36" borderId="17" xfId="0" applyNumberFormat="1" applyFont="1" applyFill="1" applyBorder="1" applyAlignment="1" applyProtection="1">
      <alignment/>
      <protection hidden="1"/>
    </xf>
    <xf numFmtId="0" fontId="1" fillId="36" borderId="18" xfId="0" applyFont="1" applyFill="1" applyBorder="1" applyAlignment="1" applyProtection="1">
      <alignment/>
      <protection hidden="1"/>
    </xf>
    <xf numFmtId="0" fontId="0" fillId="36" borderId="18" xfId="0" applyFill="1" applyBorder="1" applyAlignment="1" applyProtection="1">
      <alignment/>
      <protection hidden="1"/>
    </xf>
    <xf numFmtId="0" fontId="0" fillId="36" borderId="18" xfId="0" applyNumberFormat="1" applyFont="1" applyFill="1" applyBorder="1" applyAlignment="1" applyProtection="1">
      <alignment/>
      <protection hidden="1"/>
    </xf>
    <xf numFmtId="1" fontId="0" fillId="36" borderId="18" xfId="0" applyNumberFormat="1" applyFont="1" applyFill="1" applyBorder="1" applyAlignment="1" applyProtection="1">
      <alignment horizontal="center"/>
      <protection hidden="1"/>
    </xf>
    <xf numFmtId="0" fontId="0" fillId="36" borderId="18" xfId="0" applyFont="1" applyFill="1" applyBorder="1" applyAlignment="1" applyProtection="1">
      <alignment/>
      <protection hidden="1"/>
    </xf>
    <xf numFmtId="2" fontId="0" fillId="36" borderId="19" xfId="0" applyNumberFormat="1" applyFont="1" applyFill="1" applyBorder="1" applyAlignment="1" applyProtection="1">
      <alignment/>
      <protection hidden="1"/>
    </xf>
    <xf numFmtId="0" fontId="0" fillId="36" borderId="20" xfId="0" applyNumberFormat="1" applyFont="1" applyFill="1" applyBorder="1" applyAlignment="1" applyProtection="1">
      <alignment/>
      <protection hidden="1"/>
    </xf>
    <xf numFmtId="0" fontId="0" fillId="36" borderId="0" xfId="0" applyFill="1" applyBorder="1" applyAlignment="1" applyProtection="1">
      <alignment/>
      <protection hidden="1"/>
    </xf>
    <xf numFmtId="0" fontId="0" fillId="36" borderId="0" xfId="0" applyNumberFormat="1" applyFont="1" applyFill="1" applyBorder="1" applyAlignment="1" applyProtection="1">
      <alignment/>
      <protection hidden="1"/>
    </xf>
    <xf numFmtId="1" fontId="0" fillId="36" borderId="0" xfId="0" applyNumberFormat="1" applyFont="1" applyFill="1" applyBorder="1" applyAlignment="1" applyProtection="1">
      <alignment horizontal="center"/>
      <protection hidden="1"/>
    </xf>
    <xf numFmtId="0" fontId="0" fillId="36" borderId="0" xfId="0" applyFont="1" applyFill="1" applyBorder="1" applyAlignment="1" applyProtection="1">
      <alignment/>
      <protection hidden="1"/>
    </xf>
    <xf numFmtId="2" fontId="0" fillId="36" borderId="22" xfId="0" applyNumberFormat="1" applyFont="1" applyFill="1" applyBorder="1" applyAlignment="1" applyProtection="1">
      <alignment/>
      <protection hidden="1"/>
    </xf>
    <xf numFmtId="0" fontId="0" fillId="36" borderId="20" xfId="0" applyFill="1" applyBorder="1" applyAlignment="1" applyProtection="1">
      <alignment/>
      <protection hidden="1"/>
    </xf>
    <xf numFmtId="0" fontId="0" fillId="36" borderId="22" xfId="0" applyFill="1" applyBorder="1" applyAlignment="1" applyProtection="1">
      <alignment/>
      <protection hidden="1"/>
    </xf>
    <xf numFmtId="0" fontId="10" fillId="0" borderId="0" xfId="0" applyNumberFormat="1" applyFont="1" applyFill="1" applyBorder="1" applyAlignment="1" applyProtection="1">
      <alignment horizontal="right"/>
      <protection hidden="1"/>
    </xf>
    <xf numFmtId="0" fontId="0" fillId="0" borderId="22" xfId="0" applyNumberFormat="1" applyFont="1" applyFill="1" applyBorder="1" applyAlignment="1" applyProtection="1">
      <alignment horizontal="left"/>
      <protection hidden="1"/>
    </xf>
    <xf numFmtId="0" fontId="0" fillId="0" borderId="23" xfId="0" applyNumberFormat="1" applyFont="1" applyFill="1" applyBorder="1" applyAlignment="1" applyProtection="1">
      <alignment/>
      <protection hidden="1"/>
    </xf>
    <xf numFmtId="0" fontId="0" fillId="0" borderId="21" xfId="0" applyNumberFormat="1" applyFont="1" applyFill="1" applyBorder="1" applyAlignment="1" applyProtection="1">
      <alignment horizontal="right"/>
      <protection hidden="1"/>
    </xf>
    <xf numFmtId="2" fontId="0" fillId="34" borderId="25" xfId="0" applyNumberFormat="1" applyFont="1" applyFill="1" applyBorder="1" applyAlignment="1" applyProtection="1">
      <alignment horizontal="center"/>
      <protection hidden="1"/>
    </xf>
    <xf numFmtId="0" fontId="0" fillId="0" borderId="24" xfId="0" applyNumberFormat="1" applyFont="1" applyFill="1" applyBorder="1" applyAlignment="1" applyProtection="1">
      <alignment/>
      <protection hidden="1"/>
    </xf>
    <xf numFmtId="0" fontId="0" fillId="34" borderId="25" xfId="0" applyNumberFormat="1" applyFont="1" applyFill="1" applyBorder="1" applyAlignment="1" applyProtection="1">
      <alignment horizontal="center"/>
      <protection hidden="1"/>
    </xf>
    <xf numFmtId="0" fontId="0" fillId="0" borderId="24" xfId="0" applyNumberFormat="1" applyFont="1" applyFill="1" applyBorder="1" applyAlignment="1" applyProtection="1">
      <alignment horizontal="left"/>
      <protection hidden="1"/>
    </xf>
    <xf numFmtId="164" fontId="0" fillId="34" borderId="25" xfId="0" applyNumberFormat="1" applyFont="1" applyFill="1" applyBorder="1" applyAlignment="1" applyProtection="1">
      <alignment horizontal="center"/>
      <protection hidden="1"/>
    </xf>
    <xf numFmtId="0" fontId="5" fillId="0" borderId="21" xfId="0" applyNumberFormat="1" applyFont="1" applyFill="1" applyBorder="1" applyAlignment="1" applyProtection="1">
      <alignment/>
      <protection hidden="1"/>
    </xf>
    <xf numFmtId="0" fontId="0" fillId="36" borderId="23" xfId="0" applyNumberFormat="1" applyFont="1" applyFill="1" applyBorder="1" applyAlignment="1" applyProtection="1">
      <alignment/>
      <protection hidden="1"/>
    </xf>
    <xf numFmtId="0" fontId="11" fillId="36" borderId="21" xfId="0" applyFont="1" applyFill="1" applyBorder="1" applyAlignment="1" applyProtection="1">
      <alignment/>
      <protection hidden="1"/>
    </xf>
    <xf numFmtId="0" fontId="0" fillId="36" borderId="21" xfId="0" applyFill="1" applyBorder="1" applyAlignment="1" applyProtection="1">
      <alignment/>
      <protection hidden="1"/>
    </xf>
    <xf numFmtId="0" fontId="0" fillId="36" borderId="21" xfId="0" applyNumberFormat="1" applyFont="1" applyFill="1" applyBorder="1" applyAlignment="1" applyProtection="1">
      <alignment/>
      <protection hidden="1"/>
    </xf>
    <xf numFmtId="1" fontId="0" fillId="36" borderId="21" xfId="0" applyNumberFormat="1" applyFont="1" applyFill="1" applyBorder="1" applyAlignment="1" applyProtection="1">
      <alignment horizontal="center"/>
      <protection hidden="1"/>
    </xf>
    <xf numFmtId="0" fontId="0" fillId="36" borderId="21" xfId="0" applyFont="1" applyFill="1" applyBorder="1" applyAlignment="1" applyProtection="1">
      <alignment/>
      <protection hidden="1"/>
    </xf>
    <xf numFmtId="2" fontId="0" fillId="36" borderId="24" xfId="0" applyNumberFormat="1" applyFont="1" applyFill="1" applyBorder="1" applyAlignment="1" applyProtection="1">
      <alignment/>
      <protection hidden="1"/>
    </xf>
    <xf numFmtId="0" fontId="0" fillId="34" borderId="17" xfId="0" applyNumberFormat="1" applyFont="1" applyFill="1" applyBorder="1" applyAlignment="1" applyProtection="1">
      <alignment/>
      <protection hidden="1"/>
    </xf>
    <xf numFmtId="0" fontId="1" fillId="34" borderId="18" xfId="0" applyNumberFormat="1" applyFont="1" applyFill="1" applyBorder="1" applyAlignment="1" applyProtection="1">
      <alignment/>
      <protection hidden="1"/>
    </xf>
    <xf numFmtId="0" fontId="0" fillId="34" borderId="18" xfId="0" applyNumberFormat="1" applyFont="1" applyFill="1" applyBorder="1" applyAlignment="1" applyProtection="1">
      <alignment/>
      <protection hidden="1"/>
    </xf>
    <xf numFmtId="2" fontId="0" fillId="34" borderId="19" xfId="0" applyNumberFormat="1" applyFont="1" applyFill="1" applyBorder="1" applyAlignment="1" applyProtection="1">
      <alignment/>
      <protection hidden="1"/>
    </xf>
    <xf numFmtId="0" fontId="0" fillId="34" borderId="20" xfId="0" applyNumberFormat="1" applyFont="1" applyFill="1" applyBorder="1" applyAlignment="1" applyProtection="1">
      <alignment/>
      <protection hidden="1"/>
    </xf>
    <xf numFmtId="0" fontId="0" fillId="34" borderId="0" xfId="0" applyNumberFormat="1" applyFont="1" applyFill="1" applyBorder="1" applyAlignment="1" applyProtection="1">
      <alignment/>
      <protection hidden="1"/>
    </xf>
    <xf numFmtId="2" fontId="0" fillId="34" borderId="22" xfId="0" applyNumberFormat="1" applyFont="1" applyFill="1" applyBorder="1" applyAlignment="1" applyProtection="1">
      <alignment/>
      <protection hidden="1"/>
    </xf>
    <xf numFmtId="0" fontId="3" fillId="0" borderId="18" xfId="0" applyNumberFormat="1" applyFont="1" applyFill="1" applyBorder="1" applyAlignment="1" applyProtection="1">
      <alignment horizontal="center"/>
      <protection hidden="1"/>
    </xf>
    <xf numFmtId="0" fontId="0" fillId="0" borderId="18" xfId="0" applyNumberFormat="1" applyFont="1" applyFill="1" applyBorder="1" applyAlignment="1" applyProtection="1">
      <alignment horizontal="right"/>
      <protection hidden="1"/>
    </xf>
    <xf numFmtId="2" fontId="0" fillId="0" borderId="18" xfId="0" applyNumberFormat="1" applyFont="1" applyFill="1" applyBorder="1" applyAlignment="1" applyProtection="1">
      <alignment/>
      <protection hidden="1"/>
    </xf>
    <xf numFmtId="2" fontId="0" fillId="0" borderId="19" xfId="0" applyNumberFormat="1" applyFont="1" applyFill="1" applyBorder="1" applyAlignment="1" applyProtection="1">
      <alignment/>
      <protection hidden="1"/>
    </xf>
    <xf numFmtId="2" fontId="0" fillId="0" borderId="0" xfId="0" applyNumberFormat="1" applyFill="1" applyBorder="1" applyAlignment="1" applyProtection="1">
      <alignment vertical="top" wrapText="1"/>
      <protection hidden="1"/>
    </xf>
    <xf numFmtId="0" fontId="8" fillId="0" borderId="20" xfId="0" applyNumberFormat="1" applyFont="1" applyFill="1" applyBorder="1" applyAlignment="1" applyProtection="1">
      <alignment horizontal="center" wrapText="1"/>
      <protection hidden="1"/>
    </xf>
    <xf numFmtId="0" fontId="8" fillId="0" borderId="0" xfId="0" applyNumberFormat="1" applyFont="1" applyFill="1" applyBorder="1" applyAlignment="1" applyProtection="1">
      <alignment horizontal="center" wrapText="1"/>
      <protection hidden="1"/>
    </xf>
    <xf numFmtId="0" fontId="6" fillId="0" borderId="20" xfId="0" applyNumberFormat="1" applyFont="1" applyFill="1" applyBorder="1" applyAlignment="1" applyProtection="1">
      <alignment horizontal="center" wrapText="1"/>
      <protection hidden="1"/>
    </xf>
    <xf numFmtId="0" fontId="6" fillId="0" borderId="0" xfId="0" applyNumberFormat="1" applyFont="1" applyFill="1" applyBorder="1" applyAlignment="1" applyProtection="1">
      <alignment horizontal="center" wrapText="1"/>
      <protection hidden="1"/>
    </xf>
    <xf numFmtId="0" fontId="6" fillId="0" borderId="0" xfId="0" applyNumberFormat="1" applyFont="1" applyFill="1" applyBorder="1" applyAlignment="1" applyProtection="1">
      <alignment horizontal="center"/>
      <protection hidden="1"/>
    </xf>
    <xf numFmtId="0" fontId="0" fillId="0" borderId="20" xfId="0" applyNumberFormat="1" applyFont="1" applyFill="1" applyBorder="1" applyAlignment="1" applyProtection="1">
      <alignment horizontal="center" wrapText="1"/>
      <protection hidden="1"/>
    </xf>
    <xf numFmtId="0" fontId="0" fillId="0" borderId="0" xfId="0" applyNumberFormat="1" applyFont="1" applyFill="1" applyBorder="1" applyAlignment="1" applyProtection="1">
      <alignment horizontal="center" wrapText="1"/>
      <protection hidden="1"/>
    </xf>
    <xf numFmtId="0" fontId="0" fillId="33" borderId="26" xfId="0" applyNumberFormat="1" applyFont="1" applyFill="1" applyBorder="1" applyAlignment="1" applyProtection="1">
      <alignment horizontal="center"/>
      <protection locked="0"/>
    </xf>
    <xf numFmtId="0" fontId="0" fillId="34" borderId="20" xfId="0" applyFill="1" applyBorder="1" applyAlignment="1" applyProtection="1">
      <alignment/>
      <protection hidden="1"/>
    </xf>
    <xf numFmtId="4" fontId="13" fillId="0" borderId="21" xfId="0" applyNumberFormat="1" applyFont="1" applyBorder="1" applyAlignment="1" applyProtection="1">
      <alignment/>
      <protection hidden="1"/>
    </xf>
    <xf numFmtId="0" fontId="0" fillId="34" borderId="22" xfId="0" applyFill="1" applyBorder="1" applyAlignment="1" applyProtection="1">
      <alignment/>
      <protection hidden="1"/>
    </xf>
    <xf numFmtId="0" fontId="0" fillId="34" borderId="0" xfId="0" applyFill="1" applyBorder="1" applyAlignment="1" applyProtection="1">
      <alignment/>
      <protection hidden="1"/>
    </xf>
    <xf numFmtId="0" fontId="0" fillId="34" borderId="22" xfId="0" applyNumberFormat="1" applyFont="1" applyFill="1" applyBorder="1" applyAlignment="1" applyProtection="1">
      <alignment/>
      <protection hidden="1"/>
    </xf>
    <xf numFmtId="2" fontId="0" fillId="0" borderId="0" xfId="0" applyNumberFormat="1" applyFont="1" applyFill="1" applyBorder="1" applyAlignment="1" applyProtection="1">
      <alignment vertical="top" wrapText="1"/>
      <protection hidden="1"/>
    </xf>
    <xf numFmtId="4" fontId="0" fillId="0" borderId="17" xfId="0" applyNumberFormat="1" applyFont="1" applyFill="1" applyBorder="1" applyAlignment="1" applyProtection="1">
      <alignment horizontal="center"/>
      <protection hidden="1"/>
    </xf>
    <xf numFmtId="4" fontId="3" fillId="0" borderId="18" xfId="0" applyNumberFormat="1" applyFont="1" applyFill="1" applyBorder="1" applyAlignment="1" applyProtection="1">
      <alignment horizontal="left"/>
      <protection hidden="1"/>
    </xf>
    <xf numFmtId="4" fontId="0" fillId="0" borderId="18" xfId="0" applyNumberFormat="1" applyFont="1" applyFill="1" applyBorder="1" applyAlignment="1" applyProtection="1">
      <alignment horizontal="center"/>
      <protection hidden="1"/>
    </xf>
    <xf numFmtId="4" fontId="0" fillId="0" borderId="0" xfId="0" applyNumberFormat="1" applyFont="1"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165" fontId="0" fillId="33" borderId="10" xfId="0" applyNumberFormat="1" applyFont="1" applyFill="1" applyBorder="1" applyAlignment="1" applyProtection="1">
      <alignment horizontal="center"/>
      <protection locked="0"/>
    </xf>
    <xf numFmtId="4" fontId="0" fillId="33" borderId="0" xfId="0" applyNumberFormat="1" applyFont="1" applyFill="1" applyBorder="1" applyAlignment="1" applyProtection="1">
      <alignment horizontal="center"/>
      <protection locked="0"/>
    </xf>
    <xf numFmtId="4" fontId="0" fillId="0" borderId="20" xfId="0" applyNumberFormat="1" applyFont="1" applyFill="1" applyBorder="1" applyAlignment="1" applyProtection="1">
      <alignment horizontal="center"/>
      <protection hidden="1"/>
    </xf>
    <xf numFmtId="4" fontId="0" fillId="0" borderId="0" xfId="0" applyNumberFormat="1" applyFont="1" applyFill="1" applyBorder="1" applyAlignment="1" applyProtection="1">
      <alignment horizontal="right"/>
      <protection hidden="1"/>
    </xf>
    <xf numFmtId="0" fontId="0" fillId="33" borderId="10" xfId="0" applyFill="1" applyBorder="1" applyAlignment="1" applyProtection="1">
      <alignment horizontal="center"/>
      <protection locked="0"/>
    </xf>
    <xf numFmtId="4" fontId="0" fillId="0" borderId="23" xfId="0" applyNumberFormat="1" applyFont="1" applyFill="1" applyBorder="1" applyAlignment="1" applyProtection="1">
      <alignment horizontal="center"/>
      <protection hidden="1"/>
    </xf>
    <xf numFmtId="4" fontId="0" fillId="0" borderId="21" xfId="0" applyNumberFormat="1" applyFont="1" applyFill="1" applyBorder="1" applyAlignment="1" applyProtection="1">
      <alignment horizontal="center"/>
      <protection hidden="1"/>
    </xf>
    <xf numFmtId="4" fontId="0" fillId="34" borderId="18" xfId="0" applyNumberFormat="1" applyFont="1" applyFill="1" applyBorder="1" applyAlignment="1" applyProtection="1">
      <alignment horizontal="center"/>
      <protection hidden="1"/>
    </xf>
    <xf numFmtId="0" fontId="0" fillId="34" borderId="23" xfId="0" applyFill="1" applyBorder="1" applyAlignment="1" applyProtection="1">
      <alignment/>
      <protection hidden="1"/>
    </xf>
    <xf numFmtId="0" fontId="0" fillId="34" borderId="21" xfId="0" applyNumberFormat="1" applyFont="1" applyFill="1" applyBorder="1" applyAlignment="1" applyProtection="1">
      <alignment/>
      <protection hidden="1"/>
    </xf>
    <xf numFmtId="0" fontId="0" fillId="34" borderId="21" xfId="0" applyNumberFormat="1" applyFill="1" applyBorder="1" applyAlignment="1" applyProtection="1">
      <alignment/>
      <protection hidden="1"/>
    </xf>
    <xf numFmtId="0" fontId="0" fillId="34" borderId="21" xfId="0" applyNumberFormat="1" applyFont="1" applyFill="1" applyBorder="1" applyAlignment="1" applyProtection="1">
      <alignment horizontal="right"/>
      <protection hidden="1"/>
    </xf>
    <xf numFmtId="4" fontId="0" fillId="34" borderId="25" xfId="0" applyNumberFormat="1" applyFont="1" applyFill="1" applyBorder="1" applyAlignment="1" applyProtection="1">
      <alignment horizontal="center"/>
      <protection hidden="1"/>
    </xf>
    <xf numFmtId="0" fontId="0" fillId="34" borderId="24" xfId="0" applyFill="1" applyBorder="1" applyAlignment="1" applyProtection="1">
      <alignment/>
      <protection hidden="1"/>
    </xf>
    <xf numFmtId="0" fontId="0" fillId="35" borderId="17" xfId="0" applyFill="1" applyBorder="1" applyAlignment="1" applyProtection="1">
      <alignment/>
      <protection hidden="1"/>
    </xf>
    <xf numFmtId="0" fontId="0" fillId="35" borderId="19" xfId="0" applyFill="1" applyBorder="1" applyAlignment="1" applyProtection="1">
      <alignment/>
      <protection hidden="1"/>
    </xf>
    <xf numFmtId="0" fontId="0" fillId="0" borderId="20" xfId="0" applyNumberFormat="1" applyFont="1" applyFill="1" applyBorder="1" applyAlignment="1" applyProtection="1">
      <alignment horizontal="center"/>
      <protection hidden="1"/>
    </xf>
    <xf numFmtId="0" fontId="4" fillId="0" borderId="0" xfId="0" applyNumberFormat="1" applyFont="1" applyFill="1" applyBorder="1" applyAlignment="1" applyProtection="1">
      <alignment/>
      <protection hidden="1"/>
    </xf>
    <xf numFmtId="49" fontId="0" fillId="0" borderId="20" xfId="0" applyNumberFormat="1" applyFont="1" applyFill="1" applyBorder="1" applyAlignment="1" applyProtection="1">
      <alignment horizontal="center"/>
      <protection hidden="1"/>
    </xf>
    <xf numFmtId="165" fontId="4" fillId="34" borderId="10" xfId="0" applyNumberFormat="1" applyFont="1" applyFill="1" applyBorder="1" applyAlignment="1" applyProtection="1">
      <alignment horizontal="center"/>
      <protection hidden="1"/>
    </xf>
    <xf numFmtId="0" fontId="7" fillId="0" borderId="0" xfId="0" applyNumberFormat="1" applyFont="1" applyFill="1" applyBorder="1" applyAlignment="1" applyProtection="1">
      <alignment horizontal="left"/>
      <protection hidden="1"/>
    </xf>
    <xf numFmtId="0" fontId="4" fillId="0" borderId="0" xfId="0" applyNumberFormat="1" applyFont="1" applyFill="1" applyBorder="1" applyAlignment="1" applyProtection="1">
      <alignment horizontal="right"/>
      <protection hidden="1"/>
    </xf>
    <xf numFmtId="164" fontId="4" fillId="34" borderId="10" xfId="0" applyNumberFormat="1" applyFont="1" applyFill="1" applyBorder="1" applyAlignment="1" applyProtection="1">
      <alignment horizontal="center"/>
      <protection hidden="1"/>
    </xf>
    <xf numFmtId="2" fontId="4" fillId="34" borderId="10" xfId="0" applyNumberFormat="1" applyFont="1" applyFill="1" applyBorder="1" applyAlignment="1" applyProtection="1">
      <alignment horizontal="center"/>
      <protection hidden="1"/>
    </xf>
    <xf numFmtId="0" fontId="4" fillId="0" borderId="0" xfId="0" applyFont="1" applyBorder="1" applyAlignment="1" applyProtection="1">
      <alignment horizontal="right"/>
      <protection hidden="1"/>
    </xf>
    <xf numFmtId="2" fontId="0" fillId="34" borderId="10" xfId="0" applyNumberFormat="1" applyFill="1" applyBorder="1" applyAlignment="1" applyProtection="1">
      <alignment horizontal="center"/>
      <protection hidden="1"/>
    </xf>
    <xf numFmtId="0" fontId="5" fillId="0" borderId="0" xfId="0" applyFont="1" applyBorder="1" applyAlignment="1" applyProtection="1">
      <alignment/>
      <protection hidden="1"/>
    </xf>
    <xf numFmtId="0" fontId="0" fillId="34" borderId="10" xfId="0" applyFill="1" applyBorder="1" applyAlignment="1" applyProtection="1">
      <alignment horizontal="center"/>
      <protection hidden="1"/>
    </xf>
    <xf numFmtId="49" fontId="0" fillId="0" borderId="20" xfId="0" applyNumberFormat="1" applyFont="1" applyFill="1" applyBorder="1" applyAlignment="1" applyProtection="1">
      <alignment horizontal="left"/>
      <protection hidden="1"/>
    </xf>
    <xf numFmtId="0" fontId="0" fillId="35" borderId="24" xfId="0" applyNumberFormat="1" applyFont="1" applyFill="1" applyBorder="1" applyAlignment="1" applyProtection="1">
      <alignment/>
      <protection hidden="1"/>
    </xf>
    <xf numFmtId="0" fontId="1" fillId="35" borderId="18" xfId="0" applyFont="1" applyFill="1" applyBorder="1" applyAlignment="1" applyProtection="1">
      <alignment/>
      <protection hidden="1"/>
    </xf>
    <xf numFmtId="0" fontId="0" fillId="35" borderId="18" xfId="0" applyFill="1" applyBorder="1" applyAlignment="1" applyProtection="1">
      <alignment/>
      <protection hidden="1"/>
    </xf>
    <xf numFmtId="0" fontId="0" fillId="35" borderId="18" xfId="0" applyFill="1" applyBorder="1" applyAlignment="1" applyProtection="1">
      <alignment horizontal="right"/>
      <protection hidden="1"/>
    </xf>
    <xf numFmtId="2" fontId="0" fillId="34" borderId="26" xfId="0" applyNumberFormat="1" applyFont="1" applyFill="1" applyBorder="1" applyAlignment="1" applyProtection="1">
      <alignment horizontal="center"/>
      <protection hidden="1"/>
    </xf>
    <xf numFmtId="2" fontId="0" fillId="34" borderId="10" xfId="0" applyNumberFormat="1" applyFont="1" applyFill="1" applyBorder="1" applyAlignment="1" applyProtection="1">
      <alignment horizontal="center"/>
      <protection hidden="1"/>
    </xf>
    <xf numFmtId="2" fontId="0" fillId="34" borderId="27" xfId="0" applyNumberFormat="1" applyFont="1" applyFill="1" applyBorder="1" applyAlignment="1" applyProtection="1">
      <alignment horizontal="center"/>
      <protection hidden="1"/>
    </xf>
    <xf numFmtId="0" fontId="0" fillId="0" borderId="0" xfId="0" applyNumberFormat="1" applyFill="1" applyBorder="1" applyAlignment="1" applyProtection="1">
      <alignment horizontal="right"/>
      <protection hidden="1"/>
    </xf>
    <xf numFmtId="164" fontId="0" fillId="34" borderId="10" xfId="0" applyNumberFormat="1" applyFill="1" applyBorder="1" applyAlignment="1" applyProtection="1">
      <alignment/>
      <protection hidden="1"/>
    </xf>
    <xf numFmtId="164" fontId="0" fillId="0" borderId="0" xfId="0" applyNumberFormat="1" applyFont="1" applyFill="1" applyBorder="1" applyAlignment="1" applyProtection="1">
      <alignment/>
      <protection hidden="1"/>
    </xf>
    <xf numFmtId="0" fontId="0" fillId="0" borderId="0" xfId="0" applyBorder="1" applyAlignment="1" applyProtection="1">
      <alignment horizontal="right"/>
      <protection hidden="1"/>
    </xf>
    <xf numFmtId="0" fontId="0" fillId="0" borderId="21" xfId="0" applyFont="1" applyFill="1" applyBorder="1" applyAlignment="1" applyProtection="1">
      <alignment horizontal="right"/>
      <protection hidden="1"/>
    </xf>
    <xf numFmtId="164" fontId="0" fillId="0" borderId="21" xfId="0" applyNumberFormat="1" applyFill="1" applyBorder="1" applyAlignment="1" applyProtection="1">
      <alignment/>
      <protection hidden="1"/>
    </xf>
    <xf numFmtId="0" fontId="0" fillId="0" borderId="21" xfId="0" applyFill="1" applyBorder="1" applyAlignment="1" applyProtection="1">
      <alignment/>
      <protection hidden="1"/>
    </xf>
    <xf numFmtId="0" fontId="8" fillId="0" borderId="0" xfId="0" applyNumberFormat="1" applyFont="1" applyFill="1" applyBorder="1" applyAlignment="1" applyProtection="1">
      <alignment/>
      <protection hidden="1"/>
    </xf>
    <xf numFmtId="0" fontId="15" fillId="0" borderId="0" xfId="0" applyNumberFormat="1" applyFont="1" applyFill="1" applyBorder="1" applyAlignment="1" applyProtection="1">
      <alignment/>
      <protection hidden="1"/>
    </xf>
    <xf numFmtId="0" fontId="8" fillId="0" borderId="0" xfId="0" applyFont="1" applyAlignment="1" applyProtection="1">
      <alignment/>
      <protection hidden="1"/>
    </xf>
    <xf numFmtId="0" fontId="16" fillId="0" borderId="0" xfId="0" applyNumberFormat="1" applyFont="1" applyFill="1" applyBorder="1" applyAlignment="1" applyProtection="1">
      <alignment/>
      <protection hidden="1"/>
    </xf>
    <xf numFmtId="0" fontId="0" fillId="33" borderId="13" xfId="0" applyFill="1" applyBorder="1" applyAlignment="1" applyProtection="1">
      <alignment horizontal="center"/>
      <protection locked="0"/>
    </xf>
    <xf numFmtId="0" fontId="0" fillId="33" borderId="16" xfId="0" applyFont="1" applyFill="1" applyBorder="1" applyAlignment="1" applyProtection="1">
      <alignment horizontal="center"/>
      <protection locked="0"/>
    </xf>
    <xf numFmtId="0" fontId="0" fillId="0" borderId="28" xfId="0" applyNumberFormat="1" applyFont="1" applyFill="1" applyBorder="1" applyAlignment="1" applyProtection="1">
      <alignment/>
      <protection hidden="1"/>
    </xf>
    <xf numFmtId="0" fontId="8" fillId="0" borderId="29" xfId="0" applyNumberFormat="1" applyFont="1" applyFill="1" applyBorder="1" applyAlignment="1" applyProtection="1">
      <alignment/>
      <protection hidden="1"/>
    </xf>
    <xf numFmtId="0" fontId="7" fillId="0" borderId="30" xfId="0" applyNumberFormat="1" applyFont="1" applyFill="1" applyBorder="1" applyAlignment="1" applyProtection="1">
      <alignment horizontal="center"/>
      <protection hidden="1"/>
    </xf>
    <xf numFmtId="0" fontId="0" fillId="0" borderId="31" xfId="0" applyFont="1" applyBorder="1" applyAlignment="1" applyProtection="1">
      <alignment/>
      <protection hidden="1"/>
    </xf>
    <xf numFmtId="0" fontId="8" fillId="0" borderId="10" xfId="0" applyNumberFormat="1" applyFont="1" applyFill="1" applyBorder="1" applyAlignment="1" applyProtection="1">
      <alignment horizontal="center"/>
      <protection hidden="1"/>
    </xf>
    <xf numFmtId="0" fontId="8" fillId="0" borderId="32" xfId="0" applyNumberFormat="1" applyFont="1" applyFill="1" applyBorder="1" applyAlignment="1" applyProtection="1">
      <alignment horizontal="center"/>
      <protection hidden="1"/>
    </xf>
    <xf numFmtId="0" fontId="6" fillId="0" borderId="29" xfId="0" applyNumberFormat="1" applyFont="1" applyFill="1" applyBorder="1" applyAlignment="1" applyProtection="1">
      <alignment/>
      <protection hidden="1"/>
    </xf>
    <xf numFmtId="0" fontId="8" fillId="0" borderId="31" xfId="0" applyFont="1" applyBorder="1" applyAlignment="1" applyProtection="1">
      <alignment/>
      <protection hidden="1"/>
    </xf>
    <xf numFmtId="0" fontId="8" fillId="33" borderId="32" xfId="0" applyNumberFormat="1" applyFont="1" applyFill="1" applyBorder="1" applyAlignment="1" applyProtection="1">
      <alignment horizontal="center"/>
      <protection locked="0"/>
    </xf>
    <xf numFmtId="0" fontId="8" fillId="0" borderId="29" xfId="0" applyNumberFormat="1" applyFont="1" applyFill="1" applyBorder="1" applyAlignment="1" applyProtection="1">
      <alignment horizontal="center"/>
      <protection hidden="1"/>
    </xf>
    <xf numFmtId="164" fontId="5" fillId="0" borderId="0" xfId="0" applyNumberFormat="1" applyFont="1" applyFill="1" applyBorder="1" applyAlignment="1" applyProtection="1">
      <alignment horizontal="center"/>
      <protection hidden="1"/>
    </xf>
    <xf numFmtId="1" fontId="0" fillId="34" borderId="25" xfId="0" applyNumberFormat="1" applyFont="1" applyFill="1" applyBorder="1" applyAlignment="1" applyProtection="1">
      <alignment horizontal="center"/>
      <protection hidden="1"/>
    </xf>
    <xf numFmtId="164" fontId="5" fillId="34" borderId="25" xfId="0" applyNumberFormat="1" applyFont="1" applyFill="1" applyBorder="1" applyAlignment="1" applyProtection="1">
      <alignment horizontal="center"/>
      <protection hidden="1"/>
    </xf>
    <xf numFmtId="0" fontId="5" fillId="0" borderId="33" xfId="0" applyFont="1" applyBorder="1" applyAlignment="1" applyProtection="1">
      <alignment/>
      <protection hidden="1"/>
    </xf>
    <xf numFmtId="2" fontId="0" fillId="0" borderId="24" xfId="0" applyNumberFormat="1" applyFont="1" applyFill="1" applyBorder="1" applyAlignment="1" applyProtection="1">
      <alignment/>
      <protection hidden="1"/>
    </xf>
    <xf numFmtId="2" fontId="0" fillId="34" borderId="10" xfId="0" applyNumberFormat="1" applyFill="1" applyBorder="1" applyAlignment="1" applyProtection="1">
      <alignment/>
      <protection hidden="1"/>
    </xf>
    <xf numFmtId="1" fontId="0" fillId="0" borderId="0" xfId="0" applyNumberFormat="1" applyFont="1" applyFill="1" applyBorder="1" applyAlignment="1" applyProtection="1">
      <alignment horizontal="left"/>
      <protection hidden="1"/>
    </xf>
    <xf numFmtId="2" fontId="0" fillId="0" borderId="0" xfId="0" applyNumberFormat="1" applyFill="1" applyBorder="1" applyAlignment="1" applyProtection="1">
      <alignment/>
      <protection hidden="1"/>
    </xf>
    <xf numFmtId="0" fontId="0" fillId="0" borderId="34" xfId="0" applyNumberFormat="1" applyFont="1" applyFill="1" applyBorder="1" applyAlignment="1" applyProtection="1">
      <alignment/>
      <protection hidden="1"/>
    </xf>
    <xf numFmtId="0" fontId="0" fillId="0" borderId="35" xfId="0" applyNumberFormat="1" applyFont="1" applyFill="1" applyBorder="1" applyAlignment="1" applyProtection="1">
      <alignment/>
      <protection hidden="1"/>
    </xf>
    <xf numFmtId="0" fontId="0" fillId="0" borderId="36" xfId="0" applyNumberFormat="1" applyFont="1" applyFill="1" applyBorder="1" applyAlignment="1" applyProtection="1">
      <alignment/>
      <protection hidden="1"/>
    </xf>
    <xf numFmtId="0" fontId="0" fillId="0" borderId="37" xfId="0" applyNumberFormat="1" applyFont="1" applyFill="1" applyBorder="1" applyAlignment="1" applyProtection="1">
      <alignment/>
      <protection hidden="1"/>
    </xf>
    <xf numFmtId="0" fontId="17" fillId="0" borderId="0" xfId="0" applyNumberFormat="1" applyFont="1" applyFill="1" applyBorder="1" applyAlignment="1" applyProtection="1">
      <alignment/>
      <protection hidden="1"/>
    </xf>
    <xf numFmtId="2" fontId="0" fillId="0" borderId="0" xfId="0" applyNumberFormat="1" applyFill="1" applyBorder="1" applyAlignment="1" applyProtection="1">
      <alignment/>
      <protection hidden="1"/>
    </xf>
    <xf numFmtId="0" fontId="0" fillId="0" borderId="22" xfId="0" applyNumberFormat="1" applyFont="1" applyFill="1" applyBorder="1" applyAlignment="1" applyProtection="1">
      <alignment horizontal="center"/>
      <protection hidden="1"/>
    </xf>
    <xf numFmtId="0" fontId="0" fillId="0" borderId="38" xfId="0" applyNumberFormat="1" applyFont="1" applyFill="1" applyBorder="1" applyAlignment="1" applyProtection="1">
      <alignment horizontal="center" wrapText="1"/>
      <protection hidden="1"/>
    </xf>
    <xf numFmtId="0" fontId="0" fillId="0" borderId="30" xfId="0" applyNumberFormat="1" applyFont="1" applyFill="1" applyBorder="1" applyAlignment="1" applyProtection="1">
      <alignment horizontal="center" wrapText="1"/>
      <protection hidden="1"/>
    </xf>
    <xf numFmtId="0" fontId="0" fillId="33" borderId="10" xfId="0" applyNumberFormat="1" applyFont="1" applyFill="1" applyBorder="1" applyAlignment="1" applyProtection="1">
      <alignment horizontal="center" wrapText="1"/>
      <protection locked="0"/>
    </xf>
    <xf numFmtId="0" fontId="0" fillId="33" borderId="10" xfId="0" applyNumberFormat="1" applyFill="1" applyBorder="1" applyAlignment="1" applyProtection="1">
      <alignment horizontal="center"/>
      <protection locked="0"/>
    </xf>
    <xf numFmtId="4" fontId="5" fillId="34" borderId="26" xfId="0" applyNumberFormat="1" applyFont="1" applyFill="1" applyBorder="1" applyAlignment="1" applyProtection="1">
      <alignment horizontal="center"/>
      <protection hidden="1"/>
    </xf>
    <xf numFmtId="4" fontId="5" fillId="0" borderId="0" xfId="0" applyNumberFormat="1" applyFont="1" applyFill="1" applyBorder="1" applyAlignment="1" applyProtection="1">
      <alignment horizontal="center"/>
      <protection hidden="1"/>
    </xf>
    <xf numFmtId="4" fontId="5" fillId="34" borderId="10" xfId="0" applyNumberFormat="1" applyFont="1" applyFill="1" applyBorder="1" applyAlignment="1" applyProtection="1">
      <alignment horizontal="center"/>
      <protection hidden="1"/>
    </xf>
    <xf numFmtId="3" fontId="0" fillId="34" borderId="39" xfId="0" applyNumberFormat="1" applyFont="1" applyFill="1" applyBorder="1" applyAlignment="1" applyProtection="1">
      <alignment horizontal="center"/>
      <protection hidden="1"/>
    </xf>
    <xf numFmtId="0" fontId="6" fillId="0" borderId="0" xfId="0" applyNumberFormat="1" applyFont="1" applyFill="1" applyBorder="1" applyAlignment="1" applyProtection="1">
      <alignment horizontal="left"/>
      <protection hidden="1"/>
    </xf>
    <xf numFmtId="4" fontId="5" fillId="0" borderId="20" xfId="0" applyNumberFormat="1" applyFont="1" applyFill="1" applyBorder="1" applyAlignment="1" applyProtection="1">
      <alignment horizontal="center"/>
      <protection hidden="1"/>
    </xf>
    <xf numFmtId="3" fontId="0" fillId="34" borderId="40" xfId="0" applyNumberFormat="1" applyFont="1" applyFill="1" applyBorder="1" applyAlignment="1" applyProtection="1">
      <alignment horizontal="center"/>
      <protection hidden="1"/>
    </xf>
    <xf numFmtId="4" fontId="0" fillId="0" borderId="21" xfId="0" applyNumberFormat="1" applyFont="1" applyFill="1" applyBorder="1" applyAlignment="1" applyProtection="1">
      <alignment horizontal="right"/>
      <protection hidden="1"/>
    </xf>
    <xf numFmtId="4" fontId="13" fillId="0" borderId="21" xfId="0" applyNumberFormat="1" applyFont="1" applyFill="1" applyBorder="1" applyAlignment="1" applyProtection="1">
      <alignment horizontal="left"/>
      <protection hidden="1"/>
    </xf>
    <xf numFmtId="4" fontId="4" fillId="0" borderId="21" xfId="0" applyNumberFormat="1" applyFont="1" applyFill="1" applyBorder="1" applyAlignment="1" applyProtection="1">
      <alignment horizontal="center"/>
      <protection hidden="1"/>
    </xf>
    <xf numFmtId="4" fontId="5" fillId="0" borderId="21" xfId="0" applyNumberFormat="1" applyFont="1" applyFill="1" applyBorder="1" applyAlignment="1" applyProtection="1">
      <alignment horizontal="center"/>
      <protection hidden="1"/>
    </xf>
    <xf numFmtId="3" fontId="5" fillId="0" borderId="24" xfId="0" applyNumberFormat="1" applyFont="1" applyFill="1" applyBorder="1" applyAlignment="1" applyProtection="1">
      <alignment horizontal="center"/>
      <protection hidden="1"/>
    </xf>
    <xf numFmtId="4" fontId="0" fillId="0" borderId="0" xfId="0" applyNumberFormat="1" applyFont="1" applyFill="1" applyBorder="1" applyAlignment="1" applyProtection="1">
      <alignment horizontal="left"/>
      <protection hidden="1"/>
    </xf>
    <xf numFmtId="4" fontId="4" fillId="0" borderId="0" xfId="0" applyNumberFormat="1" applyFont="1" applyFill="1" applyBorder="1" applyAlignment="1" applyProtection="1">
      <alignment horizontal="center"/>
      <protection hidden="1"/>
    </xf>
    <xf numFmtId="3" fontId="5" fillId="0" borderId="0" xfId="0" applyNumberFormat="1" applyFont="1" applyFill="1"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Border="1" applyAlignment="1" applyProtection="1">
      <alignment horizontal="left"/>
      <protection hidden="1"/>
    </xf>
    <xf numFmtId="0" fontId="0" fillId="33" borderId="25" xfId="0" applyFill="1" applyBorder="1" applyAlignment="1" applyProtection="1">
      <alignment horizontal="center"/>
      <protection locked="0"/>
    </xf>
    <xf numFmtId="0" fontId="0" fillId="0" borderId="21" xfId="0" applyFont="1" applyBorder="1" applyAlignment="1" applyProtection="1">
      <alignment horizontal="left"/>
      <protection hidden="1"/>
    </xf>
    <xf numFmtId="0" fontId="17" fillId="0" borderId="21" xfId="0" applyFont="1" applyBorder="1" applyAlignment="1" applyProtection="1">
      <alignment/>
      <protection hidden="1"/>
    </xf>
    <xf numFmtId="0" fontId="0" fillId="0" borderId="0" xfId="0" applyFill="1" applyBorder="1" applyAlignment="1" applyProtection="1">
      <alignment horizontal="center"/>
      <protection hidden="1"/>
    </xf>
    <xf numFmtId="0" fontId="0" fillId="0" borderId="0" xfId="0" applyFont="1" applyBorder="1" applyAlignment="1" applyProtection="1">
      <alignment horizontal="left"/>
      <protection hidden="1"/>
    </xf>
    <xf numFmtId="0" fontId="17" fillId="0" borderId="0" xfId="0" applyFont="1" applyBorder="1" applyAlignment="1" applyProtection="1">
      <alignment/>
      <protection hidden="1"/>
    </xf>
    <xf numFmtId="0" fontId="3"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0" fillId="0" borderId="0" xfId="0" applyFont="1" applyFill="1" applyBorder="1" applyAlignment="1" applyProtection="1">
      <alignment horizontal="left"/>
      <protection hidden="1"/>
    </xf>
    <xf numFmtId="0" fontId="17" fillId="0" borderId="0" xfId="0" applyFont="1" applyFill="1" applyBorder="1" applyAlignment="1" applyProtection="1">
      <alignment/>
      <protection hidden="1"/>
    </xf>
    <xf numFmtId="0" fontId="0" fillId="0" borderId="17" xfId="0" applyFill="1" applyBorder="1" applyAlignment="1" applyProtection="1">
      <alignment/>
      <protection hidden="1"/>
    </xf>
    <xf numFmtId="0" fontId="3" fillId="0" borderId="18" xfId="0" applyFont="1" applyFill="1" applyBorder="1" applyAlignment="1" applyProtection="1">
      <alignment/>
      <protection hidden="1"/>
    </xf>
    <xf numFmtId="0" fontId="0" fillId="0" borderId="18" xfId="0" applyFont="1" applyFill="1" applyBorder="1" applyAlignment="1" applyProtection="1">
      <alignment horizontal="right"/>
      <protection hidden="1"/>
    </xf>
    <xf numFmtId="0" fontId="0" fillId="0" borderId="18" xfId="0" applyFill="1" applyBorder="1" applyAlignment="1" applyProtection="1">
      <alignment horizontal="center"/>
      <protection hidden="1"/>
    </xf>
    <xf numFmtId="0" fontId="0" fillId="0" borderId="18" xfId="0" applyFont="1" applyFill="1" applyBorder="1" applyAlignment="1" applyProtection="1">
      <alignment horizontal="left"/>
      <protection hidden="1"/>
    </xf>
    <xf numFmtId="0" fontId="17" fillId="0" borderId="18" xfId="0" applyFont="1" applyFill="1" applyBorder="1" applyAlignment="1" applyProtection="1">
      <alignment/>
      <protection hidden="1"/>
    </xf>
    <xf numFmtId="0" fontId="0" fillId="0" borderId="18" xfId="0" applyFill="1" applyBorder="1" applyAlignment="1" applyProtection="1">
      <alignment/>
      <protection hidden="1"/>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3" fillId="0" borderId="0" xfId="0" applyFont="1" applyFill="1" applyBorder="1" applyAlignment="1" applyProtection="1">
      <alignment/>
      <protection hidden="1"/>
    </xf>
    <xf numFmtId="164" fontId="0" fillId="34" borderId="10" xfId="0" applyNumberFormat="1" applyFill="1" applyBorder="1" applyAlignment="1" applyProtection="1">
      <alignment horizontal="center"/>
      <protection hidden="1"/>
    </xf>
    <xf numFmtId="0" fontId="20" fillId="0" borderId="0" xfId="0" applyFont="1" applyFill="1" applyBorder="1" applyAlignment="1" applyProtection="1">
      <alignment wrapText="1"/>
      <protection hidden="1"/>
    </xf>
    <xf numFmtId="0" fontId="0" fillId="0" borderId="22" xfId="0" applyFill="1" applyBorder="1" applyAlignment="1" applyProtection="1">
      <alignment/>
      <protection hidden="1"/>
    </xf>
    <xf numFmtId="0" fontId="0" fillId="33" borderId="10" xfId="0" applyFont="1" applyFill="1" applyBorder="1" applyAlignment="1" applyProtection="1">
      <alignment horizontal="center"/>
      <protection locked="0"/>
    </xf>
    <xf numFmtId="0" fontId="0" fillId="0" borderId="23" xfId="0" applyFill="1" applyBorder="1" applyAlignment="1" applyProtection="1">
      <alignment/>
      <protection hidden="1"/>
    </xf>
    <xf numFmtId="0" fontId="0" fillId="0" borderId="21" xfId="0" applyFont="1" applyFill="1" applyBorder="1" applyAlignment="1" applyProtection="1">
      <alignment horizontal="left"/>
      <protection hidden="1"/>
    </xf>
    <xf numFmtId="0" fontId="0" fillId="0" borderId="21" xfId="0" applyFont="1" applyFill="1" applyBorder="1" applyAlignment="1" applyProtection="1">
      <alignment/>
      <protection hidden="1"/>
    </xf>
    <xf numFmtId="0" fontId="0" fillId="0" borderId="24" xfId="0" applyFill="1" applyBorder="1" applyAlignment="1" applyProtection="1">
      <alignment/>
      <protection hidden="1"/>
    </xf>
    <xf numFmtId="0" fontId="21" fillId="0" borderId="0" xfId="0" applyNumberFormat="1" applyFont="1" applyFill="1" applyBorder="1" applyAlignment="1" applyProtection="1">
      <alignment/>
      <protection hidden="1"/>
    </xf>
    <xf numFmtId="4" fontId="0" fillId="0" borderId="18" xfId="0" applyNumberFormat="1" applyFont="1" applyFill="1" applyBorder="1" applyAlignment="1" applyProtection="1">
      <alignment horizontal="left"/>
      <protection hidden="1"/>
    </xf>
    <xf numFmtId="0" fontId="0" fillId="33" borderId="25" xfId="0" applyNumberFormat="1" applyFont="1" applyFill="1" applyBorder="1" applyAlignment="1" applyProtection="1">
      <alignment horizontal="center"/>
      <protection locked="0"/>
    </xf>
    <xf numFmtId="165" fontId="0" fillId="33" borderId="25" xfId="0" applyNumberFormat="1" applyFont="1" applyFill="1" applyBorder="1" applyAlignment="1" applyProtection="1">
      <alignment horizontal="center"/>
      <protection locked="0"/>
    </xf>
    <xf numFmtId="4" fontId="0" fillId="33" borderId="21" xfId="0" applyNumberFormat="1" applyFont="1" applyFill="1" applyBorder="1" applyAlignment="1" applyProtection="1">
      <alignment horizontal="center"/>
      <protection locked="0"/>
    </xf>
    <xf numFmtId="2" fontId="0" fillId="34" borderId="25" xfId="0" applyNumberFormat="1" applyFill="1" applyBorder="1" applyAlignment="1" applyProtection="1">
      <alignment/>
      <protection hidden="1"/>
    </xf>
    <xf numFmtId="0" fontId="0" fillId="0" borderId="0" xfId="0" applyFont="1" applyAlignment="1" applyProtection="1">
      <alignment horizontal="right"/>
      <protection hidden="1"/>
    </xf>
    <xf numFmtId="165" fontId="4" fillId="34" borderId="10" xfId="0" applyNumberFormat="1" applyFont="1" applyFill="1" applyBorder="1" applyAlignment="1" applyProtection="1">
      <alignment/>
      <protection hidden="1"/>
    </xf>
    <xf numFmtId="2" fontId="5" fillId="34" borderId="10" xfId="0" applyNumberFormat="1" applyFont="1" applyFill="1" applyBorder="1" applyAlignment="1" applyProtection="1">
      <alignment/>
      <protection hidden="1"/>
    </xf>
    <xf numFmtId="2" fontId="5" fillId="0" borderId="0" xfId="0" applyNumberFormat="1" applyFont="1" applyFill="1" applyBorder="1" applyAlignment="1" applyProtection="1">
      <alignment/>
      <protection hidden="1"/>
    </xf>
    <xf numFmtId="0" fontId="4" fillId="0" borderId="20" xfId="0" applyNumberFormat="1" applyFont="1" applyFill="1" applyBorder="1" applyAlignment="1" applyProtection="1">
      <alignment horizontal="right"/>
      <protection hidden="1"/>
    </xf>
    <xf numFmtId="4" fontId="4" fillId="34" borderId="10" xfId="0" applyNumberFormat="1" applyFont="1" applyFill="1" applyBorder="1" applyAlignment="1" applyProtection="1">
      <alignment/>
      <protection hidden="1"/>
    </xf>
    <xf numFmtId="0" fontId="8" fillId="0" borderId="0" xfId="0" applyFont="1" applyBorder="1" applyAlignment="1" applyProtection="1">
      <alignment/>
      <protection hidden="1"/>
    </xf>
    <xf numFmtId="2" fontId="22" fillId="34" borderId="10" xfId="0" applyNumberFormat="1" applyFont="1" applyFill="1" applyBorder="1" applyAlignment="1" applyProtection="1">
      <alignment/>
      <protection hidden="1"/>
    </xf>
    <xf numFmtId="0" fontId="4" fillId="0" borderId="20" xfId="0" applyNumberFormat="1" applyFont="1" applyFill="1" applyBorder="1" applyAlignment="1" applyProtection="1">
      <alignment/>
      <protection hidden="1"/>
    </xf>
    <xf numFmtId="4" fontId="0" fillId="34" borderId="10" xfId="0" applyNumberFormat="1" applyFont="1" applyFill="1" applyBorder="1" applyAlignment="1" applyProtection="1">
      <alignment/>
      <protection hidden="1"/>
    </xf>
    <xf numFmtId="2" fontId="4" fillId="0" borderId="0" xfId="0" applyNumberFormat="1" applyFont="1" applyFill="1" applyBorder="1" applyAlignment="1" applyProtection="1">
      <alignment horizontal="right"/>
      <protection hidden="1"/>
    </xf>
    <xf numFmtId="0" fontId="0" fillId="37" borderId="20" xfId="0" applyNumberFormat="1" applyFont="1" applyFill="1" applyBorder="1" applyAlignment="1" applyProtection="1">
      <alignment horizontal="center" wrapText="1"/>
      <protection locked="0"/>
    </xf>
    <xf numFmtId="0" fontId="0" fillId="37" borderId="0" xfId="0" applyNumberFormat="1" applyFont="1" applyFill="1" applyBorder="1" applyAlignment="1" applyProtection="1">
      <alignment horizontal="center" wrapText="1"/>
      <protection locked="0"/>
    </xf>
    <xf numFmtId="0" fontId="0" fillId="33" borderId="22" xfId="0" applyNumberFormat="1" applyFill="1" applyBorder="1" applyAlignment="1" applyProtection="1">
      <alignment horizontal="center"/>
      <protection locked="0"/>
    </xf>
    <xf numFmtId="167" fontId="0" fillId="0" borderId="0" xfId="0" applyNumberFormat="1" applyFill="1" applyBorder="1" applyAlignment="1" applyProtection="1">
      <alignment/>
      <protection hidden="1"/>
    </xf>
    <xf numFmtId="0" fontId="0" fillId="34" borderId="25" xfId="0" applyFill="1" applyBorder="1" applyAlignment="1" applyProtection="1">
      <alignment horizontal="center"/>
      <protection hidden="1"/>
    </xf>
    <xf numFmtId="0" fontId="0" fillId="0" borderId="24" xfId="0" applyFont="1" applyBorder="1" applyAlignment="1" applyProtection="1">
      <alignment/>
      <protection hidden="1"/>
    </xf>
    <xf numFmtId="0" fontId="4" fillId="0" borderId="0" xfId="0" applyFont="1" applyBorder="1" applyAlignment="1" applyProtection="1">
      <alignment horizontal="center"/>
      <protection hidden="1"/>
    </xf>
    <xf numFmtId="0" fontId="4" fillId="0" borderId="0" xfId="0" applyFont="1" applyBorder="1" applyAlignment="1" applyProtection="1">
      <alignment horizontal="left"/>
      <protection hidden="1"/>
    </xf>
    <xf numFmtId="0" fontId="0" fillId="0" borderId="41" xfId="0" applyBorder="1" applyAlignment="1" applyProtection="1">
      <alignment horizontal="center"/>
      <protection hidden="1"/>
    </xf>
    <xf numFmtId="0" fontId="4" fillId="0" borderId="28" xfId="0" applyFont="1" applyBorder="1" applyAlignment="1" applyProtection="1">
      <alignment horizontal="right"/>
      <protection hidden="1"/>
    </xf>
    <xf numFmtId="0" fontId="4" fillId="0" borderId="36" xfId="0" applyFont="1" applyBorder="1" applyAlignment="1" applyProtection="1">
      <alignment horizontal="right"/>
      <protection hidden="1"/>
    </xf>
    <xf numFmtId="0" fontId="0" fillId="0" borderId="28" xfId="0" applyFont="1" applyBorder="1" applyAlignment="1" applyProtection="1">
      <alignment horizontal="right"/>
      <protection hidden="1"/>
    </xf>
    <xf numFmtId="0" fontId="0" fillId="33" borderId="10" xfId="0" applyFill="1" applyBorder="1" applyAlignment="1" applyProtection="1">
      <alignment/>
      <protection locked="0"/>
    </xf>
    <xf numFmtId="0" fontId="0" fillId="0" borderId="29" xfId="0" applyBorder="1" applyAlignment="1" applyProtection="1">
      <alignment/>
      <protection hidden="1"/>
    </xf>
    <xf numFmtId="0" fontId="0" fillId="34" borderId="10" xfId="0" applyFill="1" applyBorder="1" applyAlignment="1" applyProtection="1">
      <alignment/>
      <protection hidden="1"/>
    </xf>
    <xf numFmtId="0" fontId="0" fillId="0" borderId="35" xfId="0" applyFont="1" applyBorder="1" applyAlignment="1" applyProtection="1">
      <alignment/>
      <protection hidden="1"/>
    </xf>
    <xf numFmtId="0" fontId="0" fillId="0" borderId="29" xfId="0" applyFont="1" applyBorder="1" applyAlignment="1" applyProtection="1">
      <alignment/>
      <protection hidden="1"/>
    </xf>
    <xf numFmtId="0" fontId="0" fillId="0" borderId="35" xfId="0" applyBorder="1" applyAlignment="1" applyProtection="1">
      <alignment/>
      <protection hidden="1"/>
    </xf>
    <xf numFmtId="168" fontId="0" fillId="34" borderId="10" xfId="0" applyNumberFormat="1" applyFill="1" applyBorder="1" applyAlignment="1" applyProtection="1">
      <alignment/>
      <protection hidden="1"/>
    </xf>
    <xf numFmtId="0" fontId="0" fillId="0" borderId="36" xfId="0" applyFont="1" applyBorder="1" applyAlignment="1" applyProtection="1">
      <alignment horizontal="right"/>
      <protection hidden="1"/>
    </xf>
    <xf numFmtId="0" fontId="0" fillId="34" borderId="42" xfId="0" applyFill="1" applyBorder="1" applyAlignment="1" applyProtection="1">
      <alignment/>
      <protection hidden="1"/>
    </xf>
    <xf numFmtId="0" fontId="0" fillId="0" borderId="37" xfId="0" applyFont="1" applyBorder="1" applyAlignment="1" applyProtection="1">
      <alignment/>
      <protection hidden="1"/>
    </xf>
    <xf numFmtId="0" fontId="23" fillId="0" borderId="0" xfId="0" applyNumberFormat="1" applyFont="1" applyFill="1" applyBorder="1" applyAlignment="1" applyProtection="1">
      <alignment/>
      <protection hidden="1"/>
    </xf>
    <xf numFmtId="49"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49" fontId="0" fillId="0" borderId="0" xfId="0" applyNumberFormat="1" applyFont="1" applyFill="1" applyBorder="1" applyAlignment="1" applyProtection="1">
      <alignment horizontal="left"/>
      <protection/>
    </xf>
    <xf numFmtId="169" fontId="0" fillId="0" borderId="0" xfId="0" applyNumberFormat="1" applyFont="1" applyFill="1" applyBorder="1" applyAlignment="1" applyProtection="1">
      <alignment horizontal="center"/>
      <protection/>
    </xf>
    <xf numFmtId="14" fontId="0" fillId="0" borderId="0" xfId="0" applyNumberFormat="1" applyFont="1" applyFill="1" applyBorder="1" applyAlignment="1" applyProtection="1">
      <alignment/>
      <protection/>
    </xf>
    <xf numFmtId="170" fontId="0" fillId="0" borderId="0" xfId="0" applyNumberFormat="1" applyFont="1" applyFill="1" applyBorder="1" applyAlignment="1" applyProtection="1">
      <alignment/>
      <protection/>
    </xf>
    <xf numFmtId="0" fontId="0" fillId="0" borderId="0" xfId="0" applyFont="1" applyAlignment="1" applyProtection="1">
      <alignment/>
      <protection hidden="1"/>
    </xf>
    <xf numFmtId="2" fontId="0" fillId="0" borderId="0" xfId="0" applyNumberFormat="1" applyFont="1" applyAlignment="1" applyProtection="1">
      <alignment/>
      <protection hidden="1"/>
    </xf>
    <xf numFmtId="0" fontId="4" fillId="0" borderId="0" xfId="0" applyFont="1" applyAlignment="1" applyProtection="1">
      <alignment horizontal="left"/>
      <protection hidden="1"/>
    </xf>
    <xf numFmtId="0" fontId="3" fillId="0" borderId="0" xfId="0" applyFont="1" applyAlignment="1" applyProtection="1">
      <alignment horizontal="left"/>
      <protection hidden="1"/>
    </xf>
    <xf numFmtId="0" fontId="3" fillId="0" borderId="0" xfId="0" applyNumberFormat="1" applyFont="1" applyFill="1" applyBorder="1" applyAlignment="1" applyProtection="1">
      <alignment horizontal="left"/>
      <protection hidden="1"/>
    </xf>
    <xf numFmtId="2" fontId="0" fillId="0" borderId="0" xfId="0" applyNumberFormat="1" applyFont="1" applyFill="1" applyBorder="1" applyAlignment="1" applyProtection="1">
      <alignment horizontal="right"/>
      <protection hidden="1"/>
    </xf>
    <xf numFmtId="0" fontId="0" fillId="0" borderId="0" xfId="0" applyNumberFormat="1" applyFont="1" applyFill="1" applyBorder="1" applyAlignment="1" applyProtection="1">
      <alignment horizontal="left"/>
      <protection hidden="1"/>
    </xf>
    <xf numFmtId="2" fontId="24" fillId="0" borderId="0" xfId="0" applyNumberFormat="1" applyFont="1" applyAlignment="1" applyProtection="1">
      <alignment/>
      <protection hidden="1"/>
    </xf>
    <xf numFmtId="0" fontId="24" fillId="0" borderId="0" xfId="0" applyFont="1" applyAlignment="1" applyProtection="1">
      <alignment/>
      <protection hidden="1"/>
    </xf>
    <xf numFmtId="0" fontId="4" fillId="0" borderId="0" xfId="0" applyNumberFormat="1" applyFont="1" applyFill="1" applyBorder="1" applyAlignment="1" applyProtection="1">
      <alignment horizontal="left"/>
      <protection hidden="1"/>
    </xf>
    <xf numFmtId="0" fontId="0" fillId="0" borderId="0" xfId="0" applyFont="1" applyAlignment="1">
      <alignment horizontal="right"/>
    </xf>
    <xf numFmtId="0" fontId="0" fillId="0" borderId="0" xfId="0" applyNumberFormat="1" applyAlignment="1">
      <alignment/>
    </xf>
    <xf numFmtId="0" fontId="0" fillId="0" borderId="0" xfId="0" applyNumberFormat="1" applyFont="1" applyAlignment="1" applyProtection="1">
      <alignment/>
      <protection hidden="1"/>
    </xf>
    <xf numFmtId="0" fontId="0" fillId="0" borderId="0" xfId="0" applyAlignment="1">
      <alignment horizontal="center"/>
    </xf>
    <xf numFmtId="0" fontId="2" fillId="0" borderId="0" xfId="0" applyFont="1" applyAlignment="1">
      <alignment/>
    </xf>
    <xf numFmtId="0" fontId="4" fillId="0" borderId="17" xfId="0" applyNumberFormat="1" applyFont="1" applyFill="1" applyBorder="1" applyAlignment="1" applyProtection="1">
      <alignment horizontal="center"/>
      <protection/>
    </xf>
    <xf numFmtId="0" fontId="4" fillId="0" borderId="34" xfId="0" applyNumberFormat="1" applyFont="1" applyFill="1" applyBorder="1" applyAlignment="1" applyProtection="1">
      <alignment horizontal="center"/>
      <protection/>
    </xf>
    <xf numFmtId="0" fontId="4" fillId="0" borderId="43" xfId="0" applyNumberFormat="1" applyFont="1" applyFill="1" applyBorder="1" applyAlignment="1" applyProtection="1">
      <alignment horizontal="center"/>
      <protection/>
    </xf>
    <xf numFmtId="0" fontId="3" fillId="0" borderId="0" xfId="0" applyFont="1" applyAlignment="1">
      <alignment horizontal="center"/>
    </xf>
    <xf numFmtId="0" fontId="0" fillId="0" borderId="31" xfId="0" applyNumberFormat="1" applyFont="1" applyFill="1" applyBorder="1" applyAlignment="1" applyProtection="1">
      <alignment/>
      <protection/>
    </xf>
    <xf numFmtId="0" fontId="0" fillId="0" borderId="10" xfId="0" applyNumberFormat="1" applyFont="1" applyFill="1" applyBorder="1" applyAlignment="1" applyProtection="1">
      <alignment horizontal="center"/>
      <protection/>
    </xf>
    <xf numFmtId="0" fontId="0" fillId="0" borderId="39" xfId="0" applyNumberFormat="1" applyFont="1" applyFill="1" applyBorder="1" applyAlignment="1" applyProtection="1">
      <alignment horizontal="center"/>
      <protection/>
    </xf>
    <xf numFmtId="0" fontId="0" fillId="0" borderId="44" xfId="0" applyNumberFormat="1" applyFont="1" applyFill="1" applyBorder="1" applyAlignment="1" applyProtection="1">
      <alignment/>
      <protection/>
    </xf>
    <xf numFmtId="10" fontId="0" fillId="0" borderId="10" xfId="0" applyNumberFormat="1" applyFont="1" applyFill="1" applyBorder="1" applyAlignment="1" applyProtection="1">
      <alignment horizontal="center"/>
      <protection/>
    </xf>
    <xf numFmtId="0" fontId="0" fillId="0" borderId="26" xfId="0" applyNumberFormat="1" applyFont="1" applyFill="1" applyBorder="1" applyAlignment="1" applyProtection="1">
      <alignment/>
      <protection/>
    </xf>
    <xf numFmtId="4" fontId="0" fillId="0" borderId="10" xfId="0" applyNumberFormat="1" applyFont="1" applyFill="1" applyBorder="1" applyAlignment="1" applyProtection="1">
      <alignment horizontal="center"/>
      <protection/>
    </xf>
    <xf numFmtId="4" fontId="0" fillId="0" borderId="39" xfId="0" applyNumberFormat="1" applyFont="1" applyFill="1" applyBorder="1" applyAlignment="1" applyProtection="1">
      <alignment horizontal="center"/>
      <protection/>
    </xf>
    <xf numFmtId="1" fontId="0" fillId="0" borderId="27" xfId="0" applyNumberFormat="1" applyBorder="1" applyAlignment="1">
      <alignment horizontal="center"/>
    </xf>
    <xf numFmtId="1" fontId="0" fillId="0" borderId="25" xfId="0" applyNumberFormat="1" applyBorder="1" applyAlignment="1">
      <alignment horizontal="center"/>
    </xf>
    <xf numFmtId="0" fontId="0" fillId="0" borderId="27" xfId="0" applyNumberFormat="1" applyFont="1" applyFill="1" applyBorder="1" applyAlignment="1" applyProtection="1">
      <alignment/>
      <protection/>
    </xf>
    <xf numFmtId="4" fontId="0" fillId="0" borderId="25" xfId="0" applyNumberFormat="1" applyFont="1" applyFill="1" applyBorder="1" applyAlignment="1" applyProtection="1">
      <alignment horizontal="center"/>
      <protection/>
    </xf>
    <xf numFmtId="4" fontId="0" fillId="0" borderId="16" xfId="0" applyNumberFormat="1"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165" fontId="0" fillId="0" borderId="10" xfId="0" applyNumberFormat="1" applyFont="1" applyFill="1" applyBorder="1" applyAlignment="1" applyProtection="1">
      <alignment horizontal="center"/>
      <protection/>
    </xf>
    <xf numFmtId="2" fontId="0" fillId="0" borderId="10" xfId="0" applyNumberFormat="1" applyFont="1" applyFill="1" applyBorder="1" applyAlignment="1" applyProtection="1">
      <alignment horizontal="center"/>
      <protection/>
    </xf>
    <xf numFmtId="2" fontId="0" fillId="0" borderId="39" xfId="0" applyNumberFormat="1" applyFont="1" applyFill="1" applyBorder="1" applyAlignment="1" applyProtection="1">
      <alignment horizontal="center"/>
      <protection/>
    </xf>
    <xf numFmtId="2" fontId="0" fillId="0" borderId="45" xfId="0" applyNumberFormat="1" applyBorder="1" applyAlignment="1">
      <alignment horizontal="center"/>
    </xf>
    <xf numFmtId="2" fontId="0" fillId="0" borderId="46" xfId="0" applyNumberFormat="1" applyBorder="1" applyAlignment="1">
      <alignment horizontal="center"/>
    </xf>
    <xf numFmtId="2" fontId="0" fillId="0" borderId="47" xfId="0" applyNumberFormat="1" applyBorder="1" applyAlignment="1">
      <alignment horizontal="center"/>
    </xf>
    <xf numFmtId="2" fontId="0" fillId="0" borderId="48" xfId="0" applyNumberFormat="1" applyBorder="1" applyAlignment="1">
      <alignment horizontal="center"/>
    </xf>
    <xf numFmtId="2" fontId="0" fillId="0" borderId="49" xfId="0" applyNumberFormat="1" applyBorder="1" applyAlignment="1">
      <alignment horizontal="center"/>
    </xf>
    <xf numFmtId="2" fontId="0" fillId="0" borderId="50" xfId="0" applyNumberFormat="1" applyBorder="1" applyAlignment="1">
      <alignment horizontal="center"/>
    </xf>
    <xf numFmtId="0" fontId="0" fillId="0" borderId="24" xfId="0" applyFont="1" applyBorder="1" applyAlignment="1">
      <alignment horizontal="center"/>
    </xf>
    <xf numFmtId="165" fontId="0" fillId="0" borderId="25" xfId="0" applyNumberFormat="1" applyFont="1" applyFill="1" applyBorder="1" applyAlignment="1" applyProtection="1">
      <alignment horizontal="center"/>
      <protection/>
    </xf>
    <xf numFmtId="2" fontId="0" fillId="0" borderId="25" xfId="0" applyNumberFormat="1" applyFont="1" applyFill="1" applyBorder="1" applyAlignment="1" applyProtection="1">
      <alignment horizontal="center"/>
      <protection/>
    </xf>
    <xf numFmtId="2" fontId="0" fillId="0" borderId="16" xfId="0" applyNumberFormat="1" applyFont="1" applyFill="1" applyBorder="1" applyAlignment="1" applyProtection="1">
      <alignment horizontal="center"/>
      <protection/>
    </xf>
    <xf numFmtId="0" fontId="4" fillId="0" borderId="51" xfId="0" applyNumberFormat="1" applyFont="1" applyFill="1" applyBorder="1" applyAlignment="1" applyProtection="1">
      <alignment horizontal="center"/>
      <protection/>
    </xf>
    <xf numFmtId="0" fontId="4" fillId="0" borderId="52" xfId="0" applyNumberFormat="1" applyFont="1" applyFill="1" applyBorder="1" applyAlignment="1" applyProtection="1">
      <alignment horizontal="center"/>
      <protection/>
    </xf>
    <xf numFmtId="0" fontId="0" fillId="0" borderId="53" xfId="0" applyNumberFormat="1" applyFont="1" applyFill="1" applyBorder="1" applyAlignment="1" applyProtection="1">
      <alignment/>
      <protection/>
    </xf>
    <xf numFmtId="4" fontId="0" fillId="0" borderId="54" xfId="0" applyNumberFormat="1" applyFont="1" applyFill="1" applyBorder="1" applyAlignment="1" applyProtection="1">
      <alignment horizontal="center"/>
      <protection/>
    </xf>
    <xf numFmtId="0" fontId="0" fillId="0" borderId="55" xfId="0" applyNumberFormat="1" applyFont="1" applyFill="1" applyBorder="1" applyAlignment="1" applyProtection="1">
      <alignment/>
      <protection/>
    </xf>
    <xf numFmtId="4" fontId="0" fillId="0" borderId="56" xfId="0" applyNumberFormat="1" applyFont="1" applyFill="1" applyBorder="1" applyAlignment="1" applyProtection="1">
      <alignment horizontal="center"/>
      <protection/>
    </xf>
    <xf numFmtId="0" fontId="0" fillId="12" borderId="57" xfId="0" applyFont="1" applyFill="1" applyBorder="1" applyAlignment="1" applyProtection="1">
      <alignment horizontal="center"/>
      <protection hidden="1" locked="0"/>
    </xf>
    <xf numFmtId="166" fontId="0" fillId="33" borderId="58" xfId="0" applyNumberFormat="1" applyFont="1" applyFill="1" applyBorder="1" applyAlignment="1" applyProtection="1">
      <alignment horizontal="center"/>
      <protection locked="0"/>
    </xf>
    <xf numFmtId="0" fontId="0" fillId="33" borderId="58" xfId="0" applyFill="1" applyBorder="1" applyAlignment="1" applyProtection="1">
      <alignment horizontal="center"/>
      <protection locked="0"/>
    </xf>
    <xf numFmtId="4" fontId="0" fillId="33" borderId="58" xfId="0" applyNumberFormat="1" applyFont="1" applyFill="1" applyBorder="1" applyAlignment="1" applyProtection="1">
      <alignment horizontal="center"/>
      <protection locked="0"/>
    </xf>
    <xf numFmtId="4" fontId="0" fillId="33" borderId="57" xfId="0" applyNumberFormat="1" applyFont="1" applyFill="1" applyBorder="1" applyAlignment="1" applyProtection="1">
      <alignment horizontal="center"/>
      <protection locked="0"/>
    </xf>
    <xf numFmtId="0" fontId="0" fillId="33" borderId="57"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horizontal="left" wrapText="1"/>
      <protection hidden="1"/>
    </xf>
    <xf numFmtId="0" fontId="0" fillId="0" borderId="0" xfId="0" applyNumberFormat="1" applyFont="1" applyFill="1" applyBorder="1" applyAlignment="1" applyProtection="1">
      <alignment horizontal="left" vertical="top" wrapText="1"/>
      <protection hidden="1"/>
    </xf>
    <xf numFmtId="0" fontId="9" fillId="0" borderId="24" xfId="0" applyFont="1" applyBorder="1" applyAlignment="1" applyProtection="1">
      <alignment horizontal="left" vertical="top" wrapText="1"/>
      <protection hidden="1"/>
    </xf>
    <xf numFmtId="2" fontId="0" fillId="0" borderId="0" xfId="0" applyNumberFormat="1" applyFont="1" applyFill="1" applyBorder="1" applyAlignment="1" applyProtection="1">
      <alignment horizontal="left" vertical="top" wrapText="1"/>
      <protection hidden="1"/>
    </xf>
    <xf numFmtId="0" fontId="0" fillId="33" borderId="59" xfId="0" applyNumberFormat="1" applyFont="1" applyFill="1" applyBorder="1" applyAlignment="1" applyProtection="1">
      <alignment horizontal="center"/>
      <protection locked="0"/>
    </xf>
    <xf numFmtId="0" fontId="0" fillId="33" borderId="60" xfId="0" applyNumberFormat="1" applyFont="1" applyFill="1" applyBorder="1" applyAlignment="1" applyProtection="1">
      <alignment horizontal="center"/>
      <protection locked="0"/>
    </xf>
    <xf numFmtId="4" fontId="0" fillId="33" borderId="59" xfId="0" applyNumberFormat="1" applyFont="1" applyFill="1" applyBorder="1" applyAlignment="1" applyProtection="1">
      <alignment horizontal="center"/>
      <protection locked="0"/>
    </xf>
    <xf numFmtId="4" fontId="0" fillId="33" borderId="60" xfId="0" applyNumberFormat="1" applyFont="1" applyFill="1" applyBorder="1" applyAlignment="1" applyProtection="1">
      <alignment horizontal="center"/>
      <protection locked="0"/>
    </xf>
    <xf numFmtId="0" fontId="14" fillId="0" borderId="24" xfId="0" applyFont="1" applyBorder="1" applyAlignment="1" applyProtection="1">
      <alignment horizontal="center" wrapText="1"/>
      <protection hidden="1"/>
    </xf>
    <xf numFmtId="2" fontId="0" fillId="33" borderId="18" xfId="0" applyNumberFormat="1" applyFont="1" applyFill="1" applyBorder="1" applyAlignment="1" applyProtection="1">
      <alignment horizontal="center"/>
      <protection locked="0"/>
    </xf>
    <xf numFmtId="0" fontId="20" fillId="0" borderId="22" xfId="0" applyFont="1" applyFill="1" applyBorder="1" applyAlignment="1" applyProtection="1">
      <alignment horizontal="center" wrapText="1"/>
      <protection hidden="1"/>
    </xf>
    <xf numFmtId="0" fontId="0" fillId="33" borderId="29" xfId="0" applyFont="1" applyFill="1" applyBorder="1" applyAlignment="1" applyProtection="1">
      <alignment horizontal="left"/>
      <protection locked="0"/>
    </xf>
    <xf numFmtId="4" fontId="0" fillId="33" borderId="18" xfId="0" applyNumberFormat="1" applyFont="1" applyFill="1" applyBorder="1" applyAlignment="1" applyProtection="1">
      <alignment horizontal="center"/>
      <protection locked="0"/>
    </xf>
    <xf numFmtId="0" fontId="0" fillId="0" borderId="61" xfId="0" applyFont="1" applyBorder="1" applyAlignment="1">
      <alignment horizontal="center" wrapText="1"/>
    </xf>
    <xf numFmtId="0" fontId="0" fillId="0" borderId="62" xfId="0" applyFont="1" applyBorder="1" applyAlignment="1">
      <alignment horizontal="center" wrapText="1"/>
    </xf>
    <xf numFmtId="0" fontId="0" fillId="0" borderId="13" xfId="0" applyFont="1" applyBorder="1" applyAlignment="1">
      <alignment horizontal="center" wrapText="1"/>
    </xf>
    <xf numFmtId="1" fontId="0" fillId="0" borderId="16" xfId="0" applyNumberFormat="1" applyBorder="1" applyAlignment="1">
      <alignment horizontal="center"/>
    </xf>
    <xf numFmtId="0" fontId="8" fillId="0" borderId="63" xfId="0" applyNumberFormat="1" applyFont="1" applyFill="1" applyBorder="1" applyAlignment="1" applyProtection="1">
      <alignment horizontal="center" wrapText="1"/>
      <protection/>
    </xf>
    <xf numFmtId="0" fontId="8" fillId="0" borderId="64" xfId="0" applyNumberFormat="1" applyFont="1" applyFill="1" applyBorder="1" applyAlignment="1" applyProtection="1">
      <alignment horizontal="center" wrapText="1"/>
      <protection/>
    </xf>
    <xf numFmtId="0" fontId="8" fillId="0" borderId="65" xfId="0" applyNumberFormat="1" applyFont="1" applyFill="1" applyBorder="1" applyAlignment="1" applyProtection="1">
      <alignment horizontal="center" wrapText="1"/>
      <protection/>
    </xf>
    <xf numFmtId="0" fontId="8" fillId="0" borderId="48" xfId="0" applyNumberFormat="1" applyFont="1" applyFill="1" applyBorder="1" applyAlignment="1" applyProtection="1">
      <alignment horizontal="center" wrapText="1"/>
      <protection/>
    </xf>
    <xf numFmtId="0" fontId="8" fillId="0" borderId="49" xfId="0" applyNumberFormat="1" applyFont="1" applyFill="1" applyBorder="1" applyAlignment="1" applyProtection="1">
      <alignment horizontal="center" wrapText="1"/>
      <protection/>
    </xf>
    <xf numFmtId="0" fontId="8" fillId="0" borderId="50" xfId="0" applyNumberFormat="1" applyFont="1" applyFill="1" applyBorder="1" applyAlignment="1" applyProtection="1">
      <alignment horizont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reativecommons.org/licenses/by-nc/3.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reativecommons.org/licenses/by-nc/3.0/" TargetMode="External" /></Relationships>
</file>

<file path=xl/worksheets/sheet1.xml><?xml version="1.0" encoding="utf-8"?>
<worksheet xmlns="http://schemas.openxmlformats.org/spreadsheetml/2006/main" xmlns:r="http://schemas.openxmlformats.org/officeDocument/2006/relationships">
  <dimension ref="A1:AG136"/>
  <sheetViews>
    <sheetView showGridLines="0" tabSelected="1" zoomScalePageLayoutView="0" workbookViewId="0" topLeftCell="A1">
      <selection activeCell="B1" sqref="B1"/>
    </sheetView>
  </sheetViews>
  <sheetFormatPr defaultColWidth="9.140625" defaultRowHeight="12.75"/>
  <cols>
    <col min="1" max="1" width="2.57421875" style="1" customWidth="1"/>
    <col min="2" max="7" width="9.00390625" style="1" customWidth="1"/>
    <col min="8" max="8" width="9.57421875" style="1" customWidth="1"/>
    <col min="9" max="9" width="8.140625" style="1" customWidth="1"/>
    <col min="10" max="10" width="5.140625" style="1" customWidth="1"/>
    <col min="11" max="11" width="4.57421875" style="1" customWidth="1"/>
    <col min="12" max="12" width="7.7109375" style="1" customWidth="1"/>
    <col min="13" max="13" width="88.57421875" style="1" customWidth="1"/>
    <col min="14" max="14" width="9.28125" style="1" customWidth="1"/>
    <col min="15" max="15" width="15.57421875" style="1" customWidth="1"/>
    <col min="16" max="16" width="7.140625" style="1" customWidth="1"/>
    <col min="17" max="17" width="12.28125" style="1" customWidth="1"/>
    <col min="18" max="18" width="5.140625" style="1" customWidth="1"/>
    <col min="19" max="19" width="11.00390625" style="1" customWidth="1"/>
    <col min="20" max="20" width="4.7109375" style="1" customWidth="1"/>
    <col min="21" max="27" width="3.28125" style="1" customWidth="1"/>
    <col min="28" max="28" width="3.28125" style="2" customWidth="1"/>
    <col min="29" max="29" width="36.28125" style="2" customWidth="1"/>
    <col min="30" max="30" width="11.421875" style="2" customWidth="1"/>
    <col min="31" max="33" width="7.7109375" style="2" customWidth="1"/>
    <col min="34" max="37" width="3.28125" style="1" customWidth="1"/>
    <col min="38" max="16384" width="9.140625" style="1" customWidth="1"/>
  </cols>
  <sheetData>
    <row r="1" spans="2:13" ht="18">
      <c r="B1" s="1" t="s">
        <v>480</v>
      </c>
      <c r="E1" s="3"/>
      <c r="F1" s="3"/>
      <c r="G1" s="3"/>
      <c r="H1" s="3"/>
      <c r="I1" s="3"/>
      <c r="J1" s="3"/>
      <c r="K1" s="3"/>
      <c r="L1" s="3"/>
      <c r="M1" s="3"/>
    </row>
    <row r="2" spans="2:13" ht="20.25">
      <c r="B2" s="3"/>
      <c r="C2" s="4" t="s">
        <v>0</v>
      </c>
      <c r="D2" s="3"/>
      <c r="E2" s="3"/>
      <c r="F2" s="3"/>
      <c r="G2" s="3"/>
      <c r="H2" s="3"/>
      <c r="I2" s="3"/>
      <c r="J2" s="3"/>
      <c r="K2" s="3"/>
      <c r="L2" s="3"/>
      <c r="M2" s="5" t="s">
        <v>1</v>
      </c>
    </row>
    <row r="3" spans="2:13" ht="12.75" customHeight="1">
      <c r="B3" s="6"/>
      <c r="C3" s="1" t="s">
        <v>2</v>
      </c>
      <c r="E3" s="3"/>
      <c r="F3" s="3"/>
      <c r="G3" s="3"/>
      <c r="H3" s="3"/>
      <c r="I3" s="3"/>
      <c r="J3" s="3"/>
      <c r="K3" s="3"/>
      <c r="L3" s="3"/>
      <c r="M3" s="3"/>
    </row>
    <row r="4" spans="2:13" ht="12.75" customHeight="1">
      <c r="B4" s="7"/>
      <c r="C4" s="1" t="s">
        <v>3</v>
      </c>
      <c r="E4" s="3"/>
      <c r="F4" s="3"/>
      <c r="G4" s="3"/>
      <c r="H4" s="3"/>
      <c r="I4" s="3"/>
      <c r="J4" s="3"/>
      <c r="K4" s="3"/>
      <c r="L4" s="3"/>
      <c r="M4" s="3"/>
    </row>
    <row r="5" ht="12.75" customHeight="1"/>
    <row r="6" spans="2:20" ht="12.75" customHeight="1">
      <c r="B6" s="8"/>
      <c r="C6" s="9" t="s">
        <v>4</v>
      </c>
      <c r="D6" s="10" t="s">
        <v>5</v>
      </c>
      <c r="E6" s="1">
        <f>IF(D6="kg","",IF(D6="lb","","bad unit"))</f>
      </c>
      <c r="F6" s="2"/>
      <c r="G6" s="2"/>
      <c r="M6" s="379" t="s">
        <v>6</v>
      </c>
      <c r="N6" s="11"/>
      <c r="O6" s="11"/>
      <c r="P6" s="11"/>
      <c r="Q6" s="11"/>
      <c r="R6" s="11"/>
      <c r="S6" s="11"/>
      <c r="T6" s="11"/>
    </row>
    <row r="7" spans="2:20" ht="12.75" customHeight="1">
      <c r="B7" s="12"/>
      <c r="C7" s="13" t="s">
        <v>7</v>
      </c>
      <c r="D7" s="14" t="s">
        <v>8</v>
      </c>
      <c r="E7" s="1">
        <f>IF(D7="l","",IF(D7="qt","",IF(D7="gal","","bad unit")))</f>
      </c>
      <c r="M7" s="379"/>
      <c r="N7" s="11"/>
      <c r="O7" s="11"/>
      <c r="P7" s="11"/>
      <c r="Q7" s="11"/>
      <c r="R7" s="11"/>
      <c r="S7" s="11"/>
      <c r="T7" s="11"/>
    </row>
    <row r="8" spans="3:20" ht="12.75" customHeight="1">
      <c r="C8" s="15"/>
      <c r="D8" s="16"/>
      <c r="M8" s="11"/>
      <c r="N8" s="11"/>
      <c r="O8" s="11"/>
      <c r="P8" s="11"/>
      <c r="Q8" s="11"/>
      <c r="R8" s="11"/>
      <c r="S8" s="11"/>
      <c r="T8" s="11"/>
    </row>
    <row r="9" spans="1:20" ht="19.5" customHeight="1">
      <c r="A9" s="17"/>
      <c r="B9" s="18" t="s">
        <v>9</v>
      </c>
      <c r="C9" s="19"/>
      <c r="D9" s="20"/>
      <c r="E9" s="21"/>
      <c r="F9" s="21"/>
      <c r="G9" s="21"/>
      <c r="H9" s="21"/>
      <c r="I9" s="21"/>
      <c r="J9" s="21"/>
      <c r="K9" s="22"/>
      <c r="M9" s="380" t="s">
        <v>10</v>
      </c>
      <c r="N9" s="11"/>
      <c r="O9" s="11"/>
      <c r="P9" s="11"/>
      <c r="Q9" s="11"/>
      <c r="R9" s="11"/>
      <c r="S9" s="11"/>
      <c r="T9" s="11"/>
    </row>
    <row r="10" spans="1:13" ht="12.75" customHeight="1">
      <c r="A10" s="24"/>
      <c r="B10" s="25"/>
      <c r="C10" s="25"/>
      <c r="D10" s="25"/>
      <c r="E10" s="25"/>
      <c r="F10" s="25"/>
      <c r="G10" s="25"/>
      <c r="H10" s="26"/>
      <c r="I10" s="26"/>
      <c r="J10" s="26"/>
      <c r="K10" s="27"/>
      <c r="M10" s="380"/>
    </row>
    <row r="11" spans="1:23" ht="18" customHeight="1">
      <c r="A11" s="24"/>
      <c r="B11" s="28"/>
      <c r="C11" s="29" t="s">
        <v>11</v>
      </c>
      <c r="D11" s="30"/>
      <c r="E11" s="30"/>
      <c r="F11" s="30"/>
      <c r="G11" s="30"/>
      <c r="H11" s="30"/>
      <c r="I11" s="30"/>
      <c r="J11" s="31"/>
      <c r="K11" s="27"/>
      <c r="M11" s="380"/>
      <c r="N11" s="32"/>
      <c r="O11" s="32"/>
      <c r="P11" s="32"/>
      <c r="Q11" s="32"/>
      <c r="R11" s="32"/>
      <c r="S11" s="32"/>
      <c r="T11" s="32"/>
      <c r="U11" s="32"/>
      <c r="V11" s="32"/>
      <c r="W11" s="32"/>
    </row>
    <row r="12" spans="1:23" ht="12.75" customHeight="1">
      <c r="A12" s="24"/>
      <c r="B12" s="33"/>
      <c r="C12" s="34" t="s">
        <v>12</v>
      </c>
      <c r="D12" s="34" t="s">
        <v>13</v>
      </c>
      <c r="E12" s="35"/>
      <c r="F12" s="35"/>
      <c r="G12" s="36" t="s">
        <v>14</v>
      </c>
      <c r="H12" s="37">
        <f>advanced!H10</f>
        <v>0</v>
      </c>
      <c r="I12" s="35" t="s">
        <v>15</v>
      </c>
      <c r="J12" s="38"/>
      <c r="K12" s="27"/>
      <c r="M12" s="380"/>
      <c r="N12" s="32"/>
      <c r="O12" s="32"/>
      <c r="P12" s="32"/>
      <c r="Q12" s="32"/>
      <c r="R12" s="32"/>
      <c r="S12" s="32"/>
      <c r="T12" s="32"/>
      <c r="U12" s="32"/>
      <c r="V12" s="32"/>
      <c r="W12" s="32"/>
    </row>
    <row r="13" spans="1:23" ht="12.75" customHeight="1">
      <c r="A13" s="24"/>
      <c r="B13" s="39"/>
      <c r="C13" s="40"/>
      <c r="D13" s="40"/>
      <c r="E13" s="35" t="s">
        <v>16</v>
      </c>
      <c r="F13" s="35"/>
      <c r="G13" s="36" t="s">
        <v>17</v>
      </c>
      <c r="H13" s="37">
        <f>advanced!H11</f>
        <v>0</v>
      </c>
      <c r="I13" s="35" t="s">
        <v>15</v>
      </c>
      <c r="J13" s="38"/>
      <c r="K13" s="27"/>
      <c r="M13" s="380"/>
      <c r="N13" s="32"/>
      <c r="O13" s="32"/>
      <c r="P13" s="32"/>
      <c r="Q13" s="32"/>
      <c r="R13" s="32"/>
      <c r="S13" s="32"/>
      <c r="T13" s="32"/>
      <c r="U13" s="32"/>
      <c r="V13" s="32"/>
      <c r="W13" s="32"/>
    </row>
    <row r="14" spans="1:23" ht="12.75" customHeight="1">
      <c r="A14" s="24"/>
      <c r="B14" s="39" t="s">
        <v>18</v>
      </c>
      <c r="C14" s="40">
        <f>C13*17.8</f>
        <v>0</v>
      </c>
      <c r="D14" s="40">
        <f>D13*17.8</f>
        <v>0</v>
      </c>
      <c r="E14" s="35" t="s">
        <v>19</v>
      </c>
      <c r="F14" s="35"/>
      <c r="G14" s="36" t="s">
        <v>20</v>
      </c>
      <c r="H14" s="37">
        <f>advanced!H12</f>
        <v>0</v>
      </c>
      <c r="I14" s="35" t="s">
        <v>21</v>
      </c>
      <c r="J14" s="38"/>
      <c r="K14" s="27"/>
      <c r="M14" s="380"/>
      <c r="N14" s="32"/>
      <c r="O14" s="32"/>
      <c r="P14" s="32"/>
      <c r="Q14" s="32"/>
      <c r="R14" s="32"/>
      <c r="S14" s="32"/>
      <c r="T14" s="32"/>
      <c r="U14" s="32"/>
      <c r="V14" s="32"/>
      <c r="W14" s="32"/>
    </row>
    <row r="15" spans="1:23" ht="12.75" customHeight="1">
      <c r="A15" s="24"/>
      <c r="B15" s="41"/>
      <c r="C15" s="42"/>
      <c r="D15" s="42"/>
      <c r="E15" s="42"/>
      <c r="F15" s="42"/>
      <c r="G15" s="43"/>
      <c r="H15" s="44"/>
      <c r="I15" s="42"/>
      <c r="J15" s="45"/>
      <c r="K15" s="27"/>
      <c r="M15" s="380"/>
      <c r="N15" s="32"/>
      <c r="O15" s="32"/>
      <c r="P15" s="32"/>
      <c r="Q15" s="32"/>
      <c r="R15" s="32"/>
      <c r="S15" s="32"/>
      <c r="T15" s="32"/>
      <c r="U15" s="32"/>
      <c r="V15" s="32"/>
      <c r="W15" s="32"/>
    </row>
    <row r="16" spans="1:11" ht="12.75" customHeight="1">
      <c r="A16" s="24"/>
      <c r="B16" s="25"/>
      <c r="C16" s="25"/>
      <c r="D16" s="25"/>
      <c r="E16" s="25"/>
      <c r="F16" s="25"/>
      <c r="G16" s="25"/>
      <c r="H16" s="26"/>
      <c r="I16" s="26"/>
      <c r="J16" s="26"/>
      <c r="K16" s="27"/>
    </row>
    <row r="17" spans="1:23" ht="17.25" customHeight="1">
      <c r="A17" s="24"/>
      <c r="B17" s="46"/>
      <c r="C17" s="47" t="s">
        <v>22</v>
      </c>
      <c r="D17" s="48"/>
      <c r="E17" s="48"/>
      <c r="F17" s="49"/>
      <c r="G17" s="49"/>
      <c r="H17" s="49"/>
      <c r="I17" s="49"/>
      <c r="J17" s="50"/>
      <c r="K17" s="27"/>
      <c r="M17" s="380" t="s">
        <v>23</v>
      </c>
      <c r="N17" s="32"/>
      <c r="O17" s="32"/>
      <c r="P17" s="32"/>
      <c r="Q17" s="32"/>
      <c r="R17" s="32"/>
      <c r="S17" s="32"/>
      <c r="T17" s="32"/>
      <c r="U17" s="32"/>
      <c r="V17" s="32"/>
      <c r="W17" s="32"/>
    </row>
    <row r="18" spans="1:23" ht="12.75">
      <c r="A18" s="24"/>
      <c r="B18" s="51"/>
      <c r="C18" s="1" t="s">
        <v>24</v>
      </c>
      <c r="E18" s="40">
        <v>100</v>
      </c>
      <c r="F18" s="1" t="s">
        <v>25</v>
      </c>
      <c r="H18" s="52">
        <f>advanced!H18</f>
        <v>0</v>
      </c>
      <c r="I18" s="53" t="s">
        <v>26</v>
      </c>
      <c r="J18" s="54"/>
      <c r="K18" s="27"/>
      <c r="M18" s="380"/>
      <c r="N18" s="32"/>
      <c r="O18" s="32"/>
      <c r="P18" s="32"/>
      <c r="Q18" s="32"/>
      <c r="R18" s="32"/>
      <c r="S18" s="32"/>
      <c r="T18" s="32"/>
      <c r="U18" s="32"/>
      <c r="V18" s="32"/>
      <c r="W18" s="32"/>
    </row>
    <row r="19" spans="1:23" ht="12.75">
      <c r="A19" s="24"/>
      <c r="B19" s="33"/>
      <c r="C19" s="55" t="s">
        <v>27</v>
      </c>
      <c r="D19" s="55" t="s">
        <v>28</v>
      </c>
      <c r="E19" s="56" t="s">
        <v>29</v>
      </c>
      <c r="F19" s="55" t="s">
        <v>30</v>
      </c>
      <c r="H19" s="57"/>
      <c r="I19" s="57"/>
      <c r="J19" s="54"/>
      <c r="K19" s="27"/>
      <c r="M19" s="380"/>
      <c r="N19" s="32"/>
      <c r="O19" s="32"/>
      <c r="P19" s="32"/>
      <c r="Q19" s="32"/>
      <c r="R19" s="32"/>
      <c r="S19" s="32"/>
      <c r="T19" s="32"/>
      <c r="U19" s="32"/>
      <c r="V19" s="32"/>
      <c r="W19" s="32"/>
    </row>
    <row r="20" spans="1:23" ht="12.75">
      <c r="A20" s="24"/>
      <c r="B20" s="58" t="s">
        <v>14</v>
      </c>
      <c r="C20" s="59">
        <f>advanced!H10</f>
        <v>0</v>
      </c>
      <c r="D20" s="40">
        <v>0</v>
      </c>
      <c r="E20" s="56" t="s">
        <v>31</v>
      </c>
      <c r="F20" s="60">
        <f>advanced!F20</f>
        <v>0</v>
      </c>
      <c r="G20" s="61" t="s">
        <v>32</v>
      </c>
      <c r="H20" s="35"/>
      <c r="I20" s="35"/>
      <c r="J20" s="38"/>
      <c r="K20" s="27"/>
      <c r="M20" s="380"/>
      <c r="N20" s="32"/>
      <c r="O20" s="32"/>
      <c r="P20" s="32"/>
      <c r="Q20" s="32"/>
      <c r="R20" s="32"/>
      <c r="S20" s="32"/>
      <c r="T20" s="32"/>
      <c r="U20" s="32"/>
      <c r="V20" s="32"/>
      <c r="W20" s="32"/>
    </row>
    <row r="21" spans="1:23" ht="12.75">
      <c r="A21" s="24"/>
      <c r="B21" s="62" t="s">
        <v>17</v>
      </c>
      <c r="C21" s="59">
        <f>advanced!H11</f>
        <v>0</v>
      </c>
      <c r="D21" s="40">
        <v>0</v>
      </c>
      <c r="E21" s="56" t="s">
        <v>31</v>
      </c>
      <c r="F21" s="60">
        <f>advanced!F21</f>
        <v>0</v>
      </c>
      <c r="G21" s="61" t="s">
        <v>33</v>
      </c>
      <c r="H21" s="35"/>
      <c r="I21" s="35"/>
      <c r="J21" s="38"/>
      <c r="K21" s="27"/>
      <c r="M21" s="380"/>
      <c r="N21" s="32"/>
      <c r="O21" s="32"/>
      <c r="P21" s="32"/>
      <c r="Q21" s="32"/>
      <c r="R21" s="32"/>
      <c r="S21" s="32"/>
      <c r="T21" s="32"/>
      <c r="U21" s="32"/>
      <c r="V21" s="32"/>
      <c r="W21" s="32"/>
    </row>
    <row r="22" spans="1:23" ht="12.75">
      <c r="A22" s="24"/>
      <c r="B22" s="58" t="s">
        <v>34</v>
      </c>
      <c r="C22" s="59"/>
      <c r="D22" s="40">
        <v>0</v>
      </c>
      <c r="E22" s="56" t="s">
        <v>31</v>
      </c>
      <c r="F22" s="60">
        <f>advanced!F22</f>
        <v>0</v>
      </c>
      <c r="G22" s="61" t="s">
        <v>35</v>
      </c>
      <c r="H22" s="35"/>
      <c r="I22" s="35"/>
      <c r="J22" s="38"/>
      <c r="K22" s="27"/>
      <c r="M22" s="380"/>
      <c r="N22" s="32"/>
      <c r="O22" s="32"/>
      <c r="P22" s="32"/>
      <c r="Q22" s="32"/>
      <c r="R22" s="32"/>
      <c r="S22" s="32"/>
      <c r="T22" s="32"/>
      <c r="U22" s="32"/>
      <c r="V22" s="32"/>
      <c r="W22" s="32"/>
    </row>
    <row r="23" spans="1:23" ht="12.75">
      <c r="A23" s="24"/>
      <c r="B23" s="58" t="s">
        <v>36</v>
      </c>
      <c r="C23" s="59"/>
      <c r="D23" s="40">
        <v>0</v>
      </c>
      <c r="E23" s="56" t="s">
        <v>31</v>
      </c>
      <c r="F23" s="60">
        <f>advanced!F23</f>
        <v>0</v>
      </c>
      <c r="G23" s="63" t="s">
        <v>37</v>
      </c>
      <c r="H23" s="35" t="s">
        <v>38</v>
      </c>
      <c r="I23" s="35"/>
      <c r="J23" s="38"/>
      <c r="K23" s="27"/>
      <c r="M23" s="380"/>
      <c r="N23" s="32"/>
      <c r="O23" s="32"/>
      <c r="P23" s="32"/>
      <c r="Q23" s="32"/>
      <c r="R23" s="32"/>
      <c r="S23" s="32"/>
      <c r="T23" s="32"/>
      <c r="U23" s="32"/>
      <c r="V23" s="32"/>
      <c r="W23" s="32"/>
    </row>
    <row r="24" spans="1:23" ht="12.75">
      <c r="A24" s="24"/>
      <c r="B24" s="58" t="s">
        <v>39</v>
      </c>
      <c r="C24" s="59"/>
      <c r="D24" s="40">
        <v>0</v>
      </c>
      <c r="E24" s="56" t="s">
        <v>31</v>
      </c>
      <c r="F24" s="60">
        <f>advanced!F24</f>
        <v>0</v>
      </c>
      <c r="G24" s="61" t="s">
        <v>40</v>
      </c>
      <c r="H24" s="35"/>
      <c r="I24" s="35"/>
      <c r="J24" s="38"/>
      <c r="K24" s="27"/>
      <c r="M24" s="380"/>
      <c r="N24" s="32"/>
      <c r="O24" s="32"/>
      <c r="P24" s="32"/>
      <c r="Q24" s="32"/>
      <c r="R24" s="32"/>
      <c r="S24" s="32"/>
      <c r="T24" s="32"/>
      <c r="U24" s="32"/>
      <c r="V24" s="32"/>
      <c r="W24" s="32"/>
    </row>
    <row r="25" spans="1:23" ht="12.75" customHeight="1">
      <c r="A25" s="24"/>
      <c r="B25" s="58" t="s">
        <v>41</v>
      </c>
      <c r="C25" s="59"/>
      <c r="D25" s="40">
        <v>0</v>
      </c>
      <c r="E25" s="56" t="s">
        <v>31</v>
      </c>
      <c r="F25" s="60">
        <f>advanced!F25</f>
        <v>0</v>
      </c>
      <c r="G25" s="61" t="s">
        <v>42</v>
      </c>
      <c r="H25" s="35"/>
      <c r="I25" s="381" t="s">
        <v>43</v>
      </c>
      <c r="J25" s="381"/>
      <c r="K25" s="27"/>
      <c r="M25" s="380"/>
      <c r="N25" s="32"/>
      <c r="O25" s="32"/>
      <c r="P25" s="32"/>
      <c r="Q25" s="32"/>
      <c r="R25" s="32"/>
      <c r="S25" s="32"/>
      <c r="T25" s="32"/>
      <c r="U25" s="32"/>
      <c r="V25" s="32"/>
      <c r="W25" s="32"/>
    </row>
    <row r="26" spans="1:23" ht="12.75">
      <c r="A26" s="24"/>
      <c r="B26" s="58" t="s">
        <v>20</v>
      </c>
      <c r="C26" s="59">
        <f>advanced!H12</f>
        <v>0</v>
      </c>
      <c r="D26" s="40">
        <v>0</v>
      </c>
      <c r="E26" s="56" t="s">
        <v>19</v>
      </c>
      <c r="F26" s="60">
        <f>advanced!F26</f>
        <v>0</v>
      </c>
      <c r="G26" s="61" t="s">
        <v>44</v>
      </c>
      <c r="H26" s="35"/>
      <c r="I26" s="381"/>
      <c r="J26" s="381"/>
      <c r="K26" s="27"/>
      <c r="M26" s="380"/>
      <c r="N26" s="32"/>
      <c r="O26" s="32"/>
      <c r="P26" s="32"/>
      <c r="Q26" s="32"/>
      <c r="R26" s="32"/>
      <c r="S26" s="32"/>
      <c r="T26" s="32"/>
      <c r="U26" s="32"/>
      <c r="V26" s="32"/>
      <c r="W26" s="32"/>
    </row>
    <row r="27" spans="1:23" ht="12.75">
      <c r="A27" s="24"/>
      <c r="B27" s="58"/>
      <c r="C27" s="64"/>
      <c r="D27" s="65"/>
      <c r="E27" s="56"/>
      <c r="F27" s="64"/>
      <c r="G27" s="61"/>
      <c r="H27" s="35"/>
      <c r="I27" s="381"/>
      <c r="J27" s="381"/>
      <c r="K27" s="27"/>
      <c r="M27" s="380"/>
      <c r="N27" s="32"/>
      <c r="O27" s="32"/>
      <c r="P27" s="32"/>
      <c r="Q27" s="32"/>
      <c r="R27" s="32"/>
      <c r="S27" s="32"/>
      <c r="T27" s="32"/>
      <c r="U27" s="32"/>
      <c r="V27" s="32"/>
      <c r="W27" s="32"/>
    </row>
    <row r="28" spans="1:23" ht="12.75">
      <c r="A28" s="24"/>
      <c r="B28" s="58"/>
      <c r="C28" s="64"/>
      <c r="D28" s="65"/>
      <c r="E28" s="66" t="s">
        <v>45</v>
      </c>
      <c r="F28" s="37">
        <f>advanced!E27</f>
        <v>0</v>
      </c>
      <c r="G28" s="61" t="s">
        <v>46</v>
      </c>
      <c r="H28" s="35"/>
      <c r="I28" s="381"/>
      <c r="J28" s="381"/>
      <c r="K28" s="27"/>
      <c r="M28" s="380"/>
      <c r="N28" s="32"/>
      <c r="O28" s="32"/>
      <c r="P28" s="32"/>
      <c r="Q28" s="32"/>
      <c r="R28" s="32"/>
      <c r="S28" s="32"/>
      <c r="T28" s="32"/>
      <c r="U28" s="32"/>
      <c r="V28" s="32"/>
      <c r="W28" s="32"/>
    </row>
    <row r="29" spans="1:23" ht="12.75">
      <c r="A29" s="24"/>
      <c r="B29" s="41"/>
      <c r="C29" s="42"/>
      <c r="D29" s="67"/>
      <c r="E29" s="42"/>
      <c r="F29" s="68"/>
      <c r="G29" s="69"/>
      <c r="H29" s="42"/>
      <c r="I29" s="381"/>
      <c r="J29" s="381"/>
      <c r="K29" s="70"/>
      <c r="L29" s="71"/>
      <c r="M29" s="380"/>
      <c r="N29" s="32"/>
      <c r="O29" s="32"/>
      <c r="P29" s="32"/>
      <c r="Q29" s="32"/>
      <c r="R29" s="32"/>
      <c r="S29" s="32"/>
      <c r="T29" s="32"/>
      <c r="U29" s="32"/>
      <c r="V29" s="32"/>
      <c r="W29" s="32"/>
    </row>
    <row r="30" spans="1:13" s="2" customFormat="1" ht="12.75">
      <c r="A30" s="72"/>
      <c r="B30" s="73"/>
      <c r="C30" s="73"/>
      <c r="D30" s="73"/>
      <c r="E30" s="73"/>
      <c r="F30" s="73"/>
      <c r="G30" s="73"/>
      <c r="H30" s="73"/>
      <c r="I30" s="73"/>
      <c r="J30" s="73"/>
      <c r="K30" s="74"/>
      <c r="M30" s="380"/>
    </row>
    <row r="31" spans="1:23" ht="12.75">
      <c r="A31" s="75"/>
      <c r="B31" s="76"/>
      <c r="C31" s="76"/>
      <c r="D31" s="77" t="s">
        <v>47</v>
      </c>
      <c r="E31" s="78" t="e">
        <f>advanced!E29</f>
        <v>#DIV/0!</v>
      </c>
      <c r="F31" s="79" t="s">
        <v>48</v>
      </c>
      <c r="G31" s="80" t="s">
        <v>49</v>
      </c>
      <c r="H31" s="76"/>
      <c r="I31" s="76"/>
      <c r="J31" s="76"/>
      <c r="K31" s="81"/>
      <c r="L31" s="71"/>
      <c r="M31" s="380"/>
      <c r="N31" s="32"/>
      <c r="O31" s="32"/>
      <c r="P31" s="32"/>
      <c r="Q31" s="32"/>
      <c r="R31" s="32"/>
      <c r="S31" s="32"/>
      <c r="T31" s="32"/>
      <c r="U31" s="32"/>
      <c r="V31" s="32"/>
      <c r="W31" s="32"/>
    </row>
    <row r="32" spans="2:23" ht="12.75">
      <c r="B32" s="35"/>
      <c r="C32" s="35"/>
      <c r="E32" s="82"/>
      <c r="F32" s="83"/>
      <c r="G32" s="84"/>
      <c r="H32" s="35"/>
      <c r="I32" s="35"/>
      <c r="J32" s="35"/>
      <c r="K32" s="71"/>
      <c r="L32" s="71"/>
      <c r="M32" s="32"/>
      <c r="N32" s="32"/>
      <c r="O32" s="32"/>
      <c r="P32" s="32"/>
      <c r="Q32" s="32"/>
      <c r="R32" s="32"/>
      <c r="S32" s="32"/>
      <c r="T32" s="32"/>
      <c r="U32" s="32"/>
      <c r="V32" s="32"/>
      <c r="W32" s="32"/>
    </row>
    <row r="33" spans="1:23" ht="18" customHeight="1">
      <c r="A33" s="85"/>
      <c r="B33" s="86" t="s">
        <v>50</v>
      </c>
      <c r="C33" s="87"/>
      <c r="D33" s="88"/>
      <c r="E33" s="87"/>
      <c r="F33" s="89"/>
      <c r="G33" s="90"/>
      <c r="H33" s="87"/>
      <c r="I33" s="87"/>
      <c r="J33" s="87"/>
      <c r="K33" s="91"/>
      <c r="L33" s="71"/>
      <c r="M33" s="380" t="s">
        <v>51</v>
      </c>
      <c r="N33" s="32"/>
      <c r="O33" s="32"/>
      <c r="P33" s="32"/>
      <c r="Q33" s="32"/>
      <c r="R33" s="32"/>
      <c r="S33" s="32"/>
      <c r="T33" s="32"/>
      <c r="U33" s="32"/>
      <c r="V33" s="32"/>
      <c r="W33" s="32"/>
    </row>
    <row r="34" spans="1:23" ht="12.75">
      <c r="A34" s="92"/>
      <c r="B34" s="93"/>
      <c r="C34" s="93"/>
      <c r="D34" s="94"/>
      <c r="E34" s="93"/>
      <c r="F34" s="95"/>
      <c r="G34" s="96"/>
      <c r="H34" s="93"/>
      <c r="I34" s="93"/>
      <c r="J34" s="93"/>
      <c r="K34" s="97"/>
      <c r="L34" s="71"/>
      <c r="M34" s="380"/>
      <c r="N34" s="32"/>
      <c r="O34" s="32"/>
      <c r="P34" s="32"/>
      <c r="Q34" s="32"/>
      <c r="R34" s="32"/>
      <c r="S34" s="32"/>
      <c r="T34" s="32"/>
      <c r="U34" s="32"/>
      <c r="V34" s="32"/>
      <c r="W34" s="32"/>
    </row>
    <row r="35" spans="1:23" s="2" customFormat="1" ht="15.75">
      <c r="A35" s="98"/>
      <c r="B35" s="46"/>
      <c r="C35" s="47" t="s">
        <v>52</v>
      </c>
      <c r="D35" s="49"/>
      <c r="E35" s="50"/>
      <c r="F35" s="94"/>
      <c r="G35" s="28"/>
      <c r="H35" s="47" t="s">
        <v>53</v>
      </c>
      <c r="I35" s="49"/>
      <c r="J35" s="50"/>
      <c r="K35" s="99"/>
      <c r="M35" s="380"/>
      <c r="N35" s="32"/>
      <c r="O35" s="32"/>
      <c r="P35" s="32"/>
      <c r="Q35" s="32"/>
      <c r="R35" s="32"/>
      <c r="S35" s="32"/>
      <c r="T35" s="32"/>
      <c r="U35" s="32"/>
      <c r="V35" s="32"/>
      <c r="W35" s="32"/>
    </row>
    <row r="36" spans="1:23" ht="12.75">
      <c r="A36" s="92"/>
      <c r="B36" s="51"/>
      <c r="C36" s="100" t="s">
        <v>54</v>
      </c>
      <c r="D36" s="40"/>
      <c r="E36" s="101" t="str">
        <f>D7</f>
        <v>gal</v>
      </c>
      <c r="F36" s="94"/>
      <c r="G36" s="51"/>
      <c r="H36" s="15" t="s">
        <v>55</v>
      </c>
      <c r="I36" s="40"/>
      <c r="J36" s="54" t="str">
        <f>D6</f>
        <v>lb</v>
      </c>
      <c r="K36" s="97"/>
      <c r="L36" s="71"/>
      <c r="M36" s="380"/>
      <c r="N36" s="32"/>
      <c r="O36" s="32"/>
      <c r="P36" s="32"/>
      <c r="Q36" s="32"/>
      <c r="R36" s="32"/>
      <c r="S36" s="32"/>
      <c r="T36" s="32"/>
      <c r="U36" s="32"/>
      <c r="V36" s="32"/>
      <c r="W36" s="32"/>
    </row>
    <row r="37" spans="1:23" ht="13.5" customHeight="1">
      <c r="A37" s="92"/>
      <c r="B37" s="51"/>
      <c r="C37" s="100" t="s">
        <v>56</v>
      </c>
      <c r="D37" s="40">
        <v>0</v>
      </c>
      <c r="E37" s="101" t="str">
        <f>D7</f>
        <v>gal</v>
      </c>
      <c r="F37" s="94"/>
      <c r="G37" s="102"/>
      <c r="H37" s="103" t="s">
        <v>57</v>
      </c>
      <c r="I37" s="104" t="e">
        <f>advanced!I33</f>
        <v>#DIV/0!</v>
      </c>
      <c r="J37" s="105" t="str">
        <f>IF(J36="lb","qt/lb","l/kg")</f>
        <v>qt/lb</v>
      </c>
      <c r="K37" s="97"/>
      <c r="L37" s="71"/>
      <c r="M37" s="380" t="s">
        <v>58</v>
      </c>
      <c r="N37" s="32"/>
      <c r="O37" s="32"/>
      <c r="P37" s="32"/>
      <c r="Q37" s="32"/>
      <c r="R37" s="32"/>
      <c r="S37" s="32"/>
      <c r="T37" s="32"/>
      <c r="U37" s="32"/>
      <c r="V37" s="32"/>
      <c r="W37" s="32"/>
    </row>
    <row r="38" spans="1:23" ht="13.5" customHeight="1">
      <c r="A38" s="92"/>
      <c r="B38" s="102"/>
      <c r="C38" s="103" t="s">
        <v>59</v>
      </c>
      <c r="D38" s="106">
        <f>advanced!D34</f>
        <v>0</v>
      </c>
      <c r="E38" s="107" t="str">
        <f>D7</f>
        <v>gal</v>
      </c>
      <c r="F38" s="94"/>
      <c r="G38" s="94"/>
      <c r="H38" s="94"/>
      <c r="I38" s="94"/>
      <c r="J38" s="94"/>
      <c r="K38" s="97"/>
      <c r="L38" s="71"/>
      <c r="M38" s="380"/>
      <c r="N38" s="32"/>
      <c r="O38" s="32"/>
      <c r="P38" s="32"/>
      <c r="Q38" s="32"/>
      <c r="R38" s="32"/>
      <c r="S38" s="32"/>
      <c r="T38" s="32"/>
      <c r="U38" s="32"/>
      <c r="V38" s="32"/>
      <c r="W38" s="32"/>
    </row>
    <row r="39" spans="1:23" ht="12.75">
      <c r="A39" s="92"/>
      <c r="B39" s="94"/>
      <c r="C39" s="94"/>
      <c r="D39" s="94"/>
      <c r="E39" s="94"/>
      <c r="F39" s="94"/>
      <c r="G39" s="94"/>
      <c r="H39" s="94"/>
      <c r="I39" s="94"/>
      <c r="J39" s="94"/>
      <c r="K39" s="97"/>
      <c r="L39" s="71"/>
      <c r="M39" s="380"/>
      <c r="N39" s="32"/>
      <c r="O39" s="32"/>
      <c r="P39" s="32"/>
      <c r="Q39" s="32"/>
      <c r="R39" s="32"/>
      <c r="S39" s="32"/>
      <c r="T39" s="32"/>
      <c r="U39" s="32"/>
      <c r="V39" s="32"/>
      <c r="W39" s="32"/>
    </row>
    <row r="40" spans="1:23" ht="15.75">
      <c r="A40" s="92"/>
      <c r="B40" s="46"/>
      <c r="C40" s="47" t="s">
        <v>60</v>
      </c>
      <c r="D40" s="49"/>
      <c r="E40" s="49"/>
      <c r="F40" s="49"/>
      <c r="G40" s="49"/>
      <c r="H40" s="49"/>
      <c r="I40" s="49"/>
      <c r="J40" s="50"/>
      <c r="K40" s="97"/>
      <c r="L40" s="71"/>
      <c r="M40" s="380"/>
      <c r="N40" s="32"/>
      <c r="O40" s="32"/>
      <c r="P40" s="32"/>
      <c r="Q40" s="32"/>
      <c r="R40" s="32"/>
      <c r="S40" s="32"/>
      <c r="T40" s="32"/>
      <c r="U40" s="32"/>
      <c r="V40" s="32"/>
      <c r="W40" s="32"/>
    </row>
    <row r="41" spans="1:23" ht="12.75">
      <c r="A41" s="92"/>
      <c r="B41" s="51"/>
      <c r="D41" s="1" t="s">
        <v>61</v>
      </c>
      <c r="E41" s="40"/>
      <c r="F41" s="1" t="s">
        <v>62</v>
      </c>
      <c r="G41" s="36" t="s">
        <v>63</v>
      </c>
      <c r="H41" s="40"/>
      <c r="I41" s="1" t="s">
        <v>25</v>
      </c>
      <c r="J41" s="54"/>
      <c r="K41" s="97"/>
      <c r="L41" s="71"/>
      <c r="M41" s="380"/>
      <c r="N41" s="32"/>
      <c r="O41" s="32"/>
      <c r="P41" s="32"/>
      <c r="Q41" s="32"/>
      <c r="R41" s="32"/>
      <c r="S41" s="32"/>
      <c r="T41" s="32"/>
      <c r="U41" s="32"/>
      <c r="V41" s="32"/>
      <c r="W41" s="32"/>
    </row>
    <row r="42" spans="1:23" ht="12.75">
      <c r="A42" s="92"/>
      <c r="B42" s="102"/>
      <c r="C42" s="67"/>
      <c r="D42" s="103" t="s">
        <v>64</v>
      </c>
      <c r="E42" s="108">
        <f>advanced!I38</f>
        <v>5.6</v>
      </c>
      <c r="F42" s="109" t="s">
        <v>65</v>
      </c>
      <c r="G42" s="68"/>
      <c r="H42" s="68"/>
      <c r="I42" s="68"/>
      <c r="J42" s="105"/>
      <c r="K42" s="97"/>
      <c r="L42" s="71"/>
      <c r="M42" s="380"/>
      <c r="N42" s="32"/>
      <c r="O42" s="32"/>
      <c r="P42" s="32"/>
      <c r="Q42" s="32"/>
      <c r="R42" s="32"/>
      <c r="S42" s="32"/>
      <c r="T42" s="32"/>
      <c r="U42" s="32"/>
      <c r="V42" s="32"/>
      <c r="W42" s="32"/>
    </row>
    <row r="43" spans="1:23" ht="12.75">
      <c r="A43" s="110"/>
      <c r="B43" s="111"/>
      <c r="C43" s="112"/>
      <c r="D43" s="113"/>
      <c r="E43" s="112"/>
      <c r="F43" s="114"/>
      <c r="G43" s="115"/>
      <c r="H43" s="112"/>
      <c r="I43" s="112"/>
      <c r="J43" s="112"/>
      <c r="K43" s="116"/>
      <c r="L43" s="71"/>
      <c r="M43" s="380"/>
      <c r="N43" s="32"/>
      <c r="O43" s="32"/>
      <c r="P43" s="32"/>
      <c r="Q43" s="32"/>
      <c r="R43" s="32"/>
      <c r="S43" s="32"/>
      <c r="T43" s="32"/>
      <c r="U43" s="32"/>
      <c r="V43" s="32"/>
      <c r="W43" s="32"/>
    </row>
    <row r="44" s="2" customFormat="1" ht="12.75">
      <c r="M44" s="380"/>
    </row>
    <row r="45" s="2" customFormat="1" ht="12.75">
      <c r="M45" s="380"/>
    </row>
    <row r="46" s="2" customFormat="1" ht="12.75">
      <c r="M46" s="380"/>
    </row>
    <row r="47" s="2" customFormat="1" ht="12.75">
      <c r="M47" s="23"/>
    </row>
    <row r="48" spans="1:23" ht="19.5" customHeight="1">
      <c r="A48" s="117"/>
      <c r="B48" s="118" t="s">
        <v>66</v>
      </c>
      <c r="C48" s="119"/>
      <c r="D48" s="119"/>
      <c r="E48" s="119"/>
      <c r="F48" s="119"/>
      <c r="G48" s="119"/>
      <c r="H48" s="119"/>
      <c r="I48" s="119"/>
      <c r="J48" s="119"/>
      <c r="K48" s="120"/>
      <c r="L48" s="71"/>
      <c r="M48" s="382" t="s">
        <v>67</v>
      </c>
      <c r="N48" s="32"/>
      <c r="O48" s="32"/>
      <c r="P48" s="32"/>
      <c r="Q48" s="32"/>
      <c r="R48" s="32"/>
      <c r="S48" s="32"/>
      <c r="T48" s="32"/>
      <c r="U48" s="32"/>
      <c r="V48" s="32"/>
      <c r="W48" s="32"/>
    </row>
    <row r="49" spans="1:23" ht="12.75">
      <c r="A49" s="121"/>
      <c r="B49" s="122"/>
      <c r="C49" s="122"/>
      <c r="D49" s="122"/>
      <c r="E49" s="122"/>
      <c r="F49" s="122"/>
      <c r="G49" s="122"/>
      <c r="H49" s="122"/>
      <c r="I49" s="122"/>
      <c r="J49" s="122"/>
      <c r="K49" s="123"/>
      <c r="L49" s="71"/>
      <c r="M49" s="382"/>
      <c r="N49" s="32"/>
      <c r="O49" s="32"/>
      <c r="P49" s="32"/>
      <c r="Q49" s="32"/>
      <c r="R49" s="32"/>
      <c r="S49" s="32"/>
      <c r="T49" s="32"/>
      <c r="U49" s="32"/>
      <c r="V49" s="32"/>
      <c r="W49" s="32"/>
    </row>
    <row r="50" spans="1:23" ht="17.25" customHeight="1">
      <c r="A50" s="121"/>
      <c r="B50" s="46"/>
      <c r="C50" s="47" t="s">
        <v>68</v>
      </c>
      <c r="D50" s="30"/>
      <c r="E50" s="124"/>
      <c r="F50" s="125" t="s">
        <v>69</v>
      </c>
      <c r="G50" s="383" t="s">
        <v>70</v>
      </c>
      <c r="H50" s="384"/>
      <c r="I50" s="126"/>
      <c r="J50" s="127"/>
      <c r="K50" s="123"/>
      <c r="L50" s="71"/>
      <c r="M50" s="382"/>
      <c r="N50" s="128"/>
      <c r="O50" s="128"/>
      <c r="P50" s="128"/>
      <c r="Q50" s="128"/>
      <c r="R50" s="128"/>
      <c r="S50" s="128"/>
      <c r="T50" s="128"/>
      <c r="U50" s="128"/>
      <c r="V50" s="128"/>
      <c r="W50" s="128"/>
    </row>
    <row r="51" spans="1:23" ht="33.75">
      <c r="A51" s="121"/>
      <c r="B51" s="129" t="s">
        <v>71</v>
      </c>
      <c r="C51" s="130" t="s">
        <v>72</v>
      </c>
      <c r="D51" s="130" t="s">
        <v>73</v>
      </c>
      <c r="E51" s="130" t="s">
        <v>74</v>
      </c>
      <c r="F51" s="130" t="s">
        <v>75</v>
      </c>
      <c r="G51" s="130" t="s">
        <v>76</v>
      </c>
      <c r="H51" s="130" t="s">
        <v>77</v>
      </c>
      <c r="I51" s="35"/>
      <c r="J51" s="54"/>
      <c r="K51" s="123"/>
      <c r="L51" s="71"/>
      <c r="M51" s="382"/>
      <c r="N51" s="128"/>
      <c r="O51" s="128"/>
      <c r="P51" s="128"/>
      <c r="Q51" s="128"/>
      <c r="R51" s="128"/>
      <c r="S51" s="128"/>
      <c r="T51" s="128"/>
      <c r="U51" s="128"/>
      <c r="V51" s="128"/>
      <c r="W51" s="128"/>
    </row>
    <row r="52" spans="1:23" ht="22.5">
      <c r="A52" s="121"/>
      <c r="B52" s="131" t="s">
        <v>78</v>
      </c>
      <c r="C52" s="132" t="s">
        <v>79</v>
      </c>
      <c r="D52" s="133" t="s">
        <v>80</v>
      </c>
      <c r="E52" s="132" t="s">
        <v>81</v>
      </c>
      <c r="F52" s="132" t="s">
        <v>82</v>
      </c>
      <c r="G52" s="133" t="s">
        <v>83</v>
      </c>
      <c r="H52" s="133" t="s">
        <v>84</v>
      </c>
      <c r="I52" s="56" t="s">
        <v>85</v>
      </c>
      <c r="J52" s="54"/>
      <c r="K52" s="123"/>
      <c r="L52" s="71"/>
      <c r="M52" s="382"/>
      <c r="N52" s="128"/>
      <c r="O52" s="128"/>
      <c r="P52" s="128"/>
      <c r="Q52" s="128"/>
      <c r="R52" s="128"/>
      <c r="S52" s="128"/>
      <c r="T52" s="128"/>
      <c r="U52" s="128"/>
      <c r="V52" s="128"/>
      <c r="W52" s="128"/>
    </row>
    <row r="53" spans="1:23" ht="12.75">
      <c r="A53" s="121"/>
      <c r="B53" s="134" t="str">
        <f aca="true" t="shared" si="0" ref="B53:H53">$I$53</f>
        <v>g</v>
      </c>
      <c r="C53" s="135" t="str">
        <f t="shared" si="0"/>
        <v>g</v>
      </c>
      <c r="D53" s="135" t="str">
        <f t="shared" si="0"/>
        <v>g</v>
      </c>
      <c r="E53" s="135" t="str">
        <f t="shared" si="0"/>
        <v>g</v>
      </c>
      <c r="F53" s="135" t="str">
        <f t="shared" si="0"/>
        <v>g</v>
      </c>
      <c r="G53" s="135" t="str">
        <f t="shared" si="0"/>
        <v>g</v>
      </c>
      <c r="H53" s="135" t="str">
        <f t="shared" si="0"/>
        <v>g</v>
      </c>
      <c r="I53" s="378" t="s">
        <v>86</v>
      </c>
      <c r="J53" s="38"/>
      <c r="K53" s="123"/>
      <c r="L53" s="71"/>
      <c r="M53" s="382"/>
      <c r="N53" s="128"/>
      <c r="O53" s="128"/>
      <c r="P53" s="128"/>
      <c r="Q53" s="128"/>
      <c r="R53" s="128"/>
      <c r="S53" s="128"/>
      <c r="T53" s="128"/>
      <c r="U53" s="128"/>
      <c r="V53" s="128"/>
      <c r="W53" s="128"/>
    </row>
    <row r="54" spans="1:23" ht="12.75">
      <c r="A54" s="121"/>
      <c r="B54" s="136"/>
      <c r="C54" s="40"/>
      <c r="D54" s="40"/>
      <c r="E54" s="40"/>
      <c r="F54" s="40"/>
      <c r="G54" s="40"/>
      <c r="H54" s="40"/>
      <c r="I54" s="65"/>
      <c r="J54" s="38"/>
      <c r="K54" s="123"/>
      <c r="L54" s="71"/>
      <c r="M54" s="382"/>
      <c r="N54" s="128"/>
      <c r="O54" s="128"/>
      <c r="P54" s="128"/>
      <c r="Q54" s="128"/>
      <c r="R54" s="128"/>
      <c r="S54" s="128"/>
      <c r="T54" s="128"/>
      <c r="U54" s="128"/>
      <c r="V54" s="128"/>
      <c r="W54" s="128"/>
    </row>
    <row r="55" spans="1:11" s="2" customFormat="1" ht="12.75">
      <c r="A55" s="137"/>
      <c r="B55" s="41"/>
      <c r="C55" s="138" t="str">
        <f>advanced!E58</f>
        <v>ERROR: total water volume needed when adding salts in g and mash and sparge is selected</v>
      </c>
      <c r="D55" s="42"/>
      <c r="E55" s="42"/>
      <c r="F55" s="42"/>
      <c r="G55" s="42"/>
      <c r="H55" s="42"/>
      <c r="I55" s="42"/>
      <c r="J55" s="45"/>
      <c r="K55" s="139"/>
    </row>
    <row r="56" spans="1:23" ht="12.75">
      <c r="A56" s="121"/>
      <c r="B56" s="140"/>
      <c r="C56" s="140"/>
      <c r="D56" s="140"/>
      <c r="E56" s="140"/>
      <c r="F56" s="140"/>
      <c r="G56" s="140"/>
      <c r="H56" s="140"/>
      <c r="I56" s="140"/>
      <c r="J56" s="140"/>
      <c r="K56" s="141"/>
      <c r="M56" s="142"/>
      <c r="N56" s="142"/>
      <c r="O56" s="142"/>
      <c r="P56" s="142"/>
      <c r="Q56" s="142"/>
      <c r="R56" s="142"/>
      <c r="S56" s="142"/>
      <c r="T56" s="142"/>
      <c r="U56" s="142"/>
      <c r="V56" s="142"/>
      <c r="W56" s="142"/>
    </row>
    <row r="57" spans="1:23" ht="15.75">
      <c r="A57" s="121"/>
      <c r="B57" s="143"/>
      <c r="C57" s="144" t="s">
        <v>87</v>
      </c>
      <c r="D57" s="145"/>
      <c r="E57" s="145"/>
      <c r="F57" s="145"/>
      <c r="G57" s="145"/>
      <c r="H57" s="145"/>
      <c r="I57" s="145"/>
      <c r="J57" s="50"/>
      <c r="K57" s="141"/>
      <c r="M57" s="142"/>
      <c r="N57" s="142"/>
      <c r="O57" s="142"/>
      <c r="P57" s="142"/>
      <c r="Q57" s="142"/>
      <c r="R57" s="142"/>
      <c r="S57" s="142"/>
      <c r="T57" s="142"/>
      <c r="U57" s="142"/>
      <c r="V57" s="142"/>
      <c r="W57" s="142"/>
    </row>
    <row r="58" spans="1:23" ht="12.75" customHeight="1">
      <c r="A58" s="121"/>
      <c r="B58" s="51"/>
      <c r="C58" s="146"/>
      <c r="D58" s="146" t="s">
        <v>88</v>
      </c>
      <c r="E58" s="146"/>
      <c r="F58" s="146"/>
      <c r="G58" s="146"/>
      <c r="H58" s="146"/>
      <c r="I58" s="147"/>
      <c r="J58" s="54"/>
      <c r="K58" s="141"/>
      <c r="M58" s="382" t="s">
        <v>89</v>
      </c>
      <c r="N58" s="142"/>
      <c r="O58" s="142"/>
      <c r="P58" s="142"/>
      <c r="Q58" s="142"/>
      <c r="R58" s="142"/>
      <c r="S58" s="142"/>
      <c r="T58" s="142"/>
      <c r="U58" s="142"/>
      <c r="V58" s="142"/>
      <c r="W58" s="142"/>
    </row>
    <row r="59" spans="1:23" ht="12.75">
      <c r="A59" s="121"/>
      <c r="B59" s="51"/>
      <c r="C59" s="35"/>
      <c r="D59" s="146" t="s">
        <v>25</v>
      </c>
      <c r="E59" s="146"/>
      <c r="F59" s="147" t="s">
        <v>85</v>
      </c>
      <c r="G59" s="146"/>
      <c r="H59" s="146"/>
      <c r="I59" s="147"/>
      <c r="J59" s="54"/>
      <c r="K59" s="141"/>
      <c r="M59" s="382"/>
      <c r="N59" s="142"/>
      <c r="O59" s="142"/>
      <c r="P59" s="142"/>
      <c r="Q59" s="142"/>
      <c r="R59" s="142"/>
      <c r="S59" s="142"/>
      <c r="T59" s="142"/>
      <c r="U59" s="142"/>
      <c r="V59" s="142"/>
      <c r="W59" s="142"/>
    </row>
    <row r="60" spans="1:23" ht="12.75">
      <c r="A60" s="121"/>
      <c r="B60" s="51"/>
      <c r="C60" s="146" t="s">
        <v>90</v>
      </c>
      <c r="D60" s="148">
        <v>88</v>
      </c>
      <c r="E60" s="374"/>
      <c r="F60" s="377" t="s">
        <v>91</v>
      </c>
      <c r="I60" s="147"/>
      <c r="J60" s="54"/>
      <c r="K60" s="141"/>
      <c r="M60" s="382"/>
      <c r="N60" s="142"/>
      <c r="O60" s="142"/>
      <c r="P60" s="142"/>
      <c r="Q60" s="142"/>
      <c r="R60" s="142"/>
      <c r="S60" s="142"/>
      <c r="T60" s="142"/>
      <c r="U60" s="142"/>
      <c r="V60" s="142"/>
      <c r="W60" s="142"/>
    </row>
    <row r="61" spans="1:13" s="2" customFormat="1" ht="12.75">
      <c r="A61" s="137"/>
      <c r="B61" s="150"/>
      <c r="C61" s="151" t="s">
        <v>92</v>
      </c>
      <c r="D61" s="152">
        <v>10</v>
      </c>
      <c r="E61" s="375"/>
      <c r="F61" s="377" t="s">
        <v>91</v>
      </c>
      <c r="G61" s="35"/>
      <c r="H61" s="35"/>
      <c r="I61" s="146"/>
      <c r="J61" s="54"/>
      <c r="K61" s="139"/>
      <c r="M61" s="382"/>
    </row>
    <row r="62" spans="1:13" s="2" customFormat="1" ht="12.75">
      <c r="A62" s="137"/>
      <c r="B62" s="150"/>
      <c r="C62" s="146" t="s">
        <v>93</v>
      </c>
      <c r="D62" s="40">
        <v>3</v>
      </c>
      <c r="E62" s="376"/>
      <c r="F62" s="377" t="s">
        <v>86</v>
      </c>
      <c r="G62" s="35"/>
      <c r="H62" s="35"/>
      <c r="I62" s="146"/>
      <c r="J62" s="54"/>
      <c r="K62" s="139"/>
      <c r="M62" s="382"/>
    </row>
    <row r="63" spans="1:11" s="2" customFormat="1" ht="12.75">
      <c r="A63" s="137"/>
      <c r="B63" s="153"/>
      <c r="C63" s="154"/>
      <c r="D63" s="154"/>
      <c r="E63" s="154"/>
      <c r="F63" s="154"/>
      <c r="G63" s="154"/>
      <c r="H63" s="154"/>
      <c r="I63" s="154"/>
      <c r="J63" s="105"/>
      <c r="K63" s="139"/>
    </row>
    <row r="64" spans="1:11" s="2" customFormat="1" ht="12.75">
      <c r="A64" s="137"/>
      <c r="B64" s="155"/>
      <c r="C64" s="155"/>
      <c r="D64" s="155"/>
      <c r="E64" s="155"/>
      <c r="F64" s="155"/>
      <c r="G64" s="155"/>
      <c r="H64" s="155"/>
      <c r="I64" s="155"/>
      <c r="J64" s="119"/>
      <c r="K64" s="139"/>
    </row>
    <row r="65" spans="1:11" s="2" customFormat="1" ht="12.75">
      <c r="A65" s="156"/>
      <c r="B65" s="157"/>
      <c r="C65" s="158"/>
      <c r="D65" s="159" t="s">
        <v>94</v>
      </c>
      <c r="E65" s="160" t="e">
        <f>advanced!F89</f>
        <v>#DIV/0!</v>
      </c>
      <c r="F65" s="158" t="s">
        <v>48</v>
      </c>
      <c r="G65" s="157"/>
      <c r="H65" s="157"/>
      <c r="I65" s="157"/>
      <c r="J65" s="157"/>
      <c r="K65" s="161"/>
    </row>
    <row r="66" spans="2:10" s="2" customFormat="1" ht="12.75">
      <c r="B66" s="1"/>
      <c r="C66" s="1"/>
      <c r="D66" s="1"/>
      <c r="E66" s="1"/>
      <c r="F66" s="1"/>
      <c r="G66" s="1"/>
      <c r="H66" s="1"/>
      <c r="I66" s="1"/>
      <c r="J66" s="1"/>
    </row>
    <row r="67" spans="1:13" s="2" customFormat="1" ht="14.25" customHeight="1">
      <c r="A67" s="162"/>
      <c r="B67" s="21"/>
      <c r="C67" s="21"/>
      <c r="D67" s="21"/>
      <c r="E67" s="21"/>
      <c r="F67" s="21"/>
      <c r="G67" s="21"/>
      <c r="H67" s="21"/>
      <c r="I67" s="21"/>
      <c r="J67" s="21"/>
      <c r="K67" s="163"/>
      <c r="M67" s="380" t="s">
        <v>95</v>
      </c>
    </row>
    <row r="68" spans="1:13" s="2" customFormat="1" ht="15.75">
      <c r="A68" s="72"/>
      <c r="B68" s="143"/>
      <c r="C68" s="47" t="s">
        <v>96</v>
      </c>
      <c r="D68" s="145"/>
      <c r="E68" s="145"/>
      <c r="F68" s="145" t="s">
        <v>97</v>
      </c>
      <c r="G68" s="385" t="s">
        <v>98</v>
      </c>
      <c r="H68" s="386"/>
      <c r="I68" s="145"/>
      <c r="J68" s="50"/>
      <c r="K68" s="74"/>
      <c r="M68" s="380"/>
    </row>
    <row r="69" spans="1:13" s="2" customFormat="1" ht="12.75">
      <c r="A69" s="72"/>
      <c r="B69" s="164" t="s">
        <v>99</v>
      </c>
      <c r="C69" s="1"/>
      <c r="D69" s="165"/>
      <c r="E69" s="165"/>
      <c r="F69" s="165"/>
      <c r="G69" s="165"/>
      <c r="H69" s="165"/>
      <c r="I69" s="165"/>
      <c r="J69" s="54"/>
      <c r="K69" s="74"/>
      <c r="M69" s="380"/>
    </row>
    <row r="70" spans="1:13" s="2" customFormat="1" ht="12.75">
      <c r="A70" s="72"/>
      <c r="B70" s="166" t="s">
        <v>100</v>
      </c>
      <c r="C70" s="167">
        <f>advanced!C93</f>
        <v>0</v>
      </c>
      <c r="D70" s="168" t="s">
        <v>101</v>
      </c>
      <c r="E70" s="35"/>
      <c r="F70" s="35"/>
      <c r="G70" s="169" t="s">
        <v>102</v>
      </c>
      <c r="H70" s="170">
        <f>advanced!C100</f>
        <v>0</v>
      </c>
      <c r="I70" s="168" t="s">
        <v>103</v>
      </c>
      <c r="J70" s="38"/>
      <c r="K70" s="74"/>
      <c r="M70" s="380"/>
    </row>
    <row r="71" spans="1:13" s="2" customFormat="1" ht="12.75">
      <c r="A71" s="72"/>
      <c r="B71" s="166" t="s">
        <v>104</v>
      </c>
      <c r="C71" s="167">
        <f>advanced!C94</f>
        <v>0</v>
      </c>
      <c r="D71" s="168" t="s">
        <v>105</v>
      </c>
      <c r="E71" s="35"/>
      <c r="F71" s="35"/>
      <c r="G71" s="169" t="s">
        <v>106</v>
      </c>
      <c r="H71" s="171" t="e">
        <f>advanced!C102</f>
        <v>#DIV/0!</v>
      </c>
      <c r="I71" s="16"/>
      <c r="J71" s="38"/>
      <c r="K71" s="74"/>
      <c r="M71" s="380"/>
    </row>
    <row r="72" spans="1:13" s="2" customFormat="1" ht="12.75">
      <c r="A72" s="72"/>
      <c r="B72" s="166" t="s">
        <v>107</v>
      </c>
      <c r="C72" s="167">
        <f>advanced!C95</f>
        <v>0</v>
      </c>
      <c r="D72" s="168" t="s">
        <v>108</v>
      </c>
      <c r="E72" s="35"/>
      <c r="F72" s="35"/>
      <c r="G72" s="172" t="s">
        <v>109</v>
      </c>
      <c r="H72" s="173" t="e">
        <f>advanced!H102</f>
        <v>#DIV/0!</v>
      </c>
      <c r="I72" s="174" t="s">
        <v>110</v>
      </c>
      <c r="J72" s="38"/>
      <c r="K72" s="74"/>
      <c r="M72" s="380"/>
    </row>
    <row r="73" spans="1:13" s="2" customFormat="1" ht="12.75">
      <c r="A73" s="72"/>
      <c r="B73" s="166" t="s">
        <v>111</v>
      </c>
      <c r="C73" s="167">
        <f>advanced!C96</f>
        <v>0</v>
      </c>
      <c r="D73" s="168" t="s">
        <v>112</v>
      </c>
      <c r="E73" s="35"/>
      <c r="F73" s="35" t="s">
        <v>113</v>
      </c>
      <c r="G73" s="1"/>
      <c r="H73" s="65"/>
      <c r="I73" s="1"/>
      <c r="J73" s="54"/>
      <c r="K73" s="74"/>
      <c r="M73" s="380"/>
    </row>
    <row r="74" spans="1:11" s="2" customFormat="1" ht="12.75">
      <c r="A74" s="72"/>
      <c r="B74" s="166" t="s">
        <v>114</v>
      </c>
      <c r="C74" s="167">
        <f>advanced!C97</f>
        <v>0</v>
      </c>
      <c r="D74" s="168" t="s">
        <v>115</v>
      </c>
      <c r="E74" s="35"/>
      <c r="F74" s="35"/>
      <c r="G74" s="35" t="s">
        <v>90</v>
      </c>
      <c r="H74" s="175">
        <f>'detailed calculations'!B121</f>
        <v>0</v>
      </c>
      <c r="I74" s="35" t="s">
        <v>116</v>
      </c>
      <c r="J74" s="38"/>
      <c r="K74" s="74"/>
    </row>
    <row r="75" spans="1:11" ht="12.75">
      <c r="A75" s="24"/>
      <c r="B75" s="176"/>
      <c r="C75" s="167">
        <f>advanced!C98</f>
        <v>0</v>
      </c>
      <c r="D75" s="168" t="s">
        <v>117</v>
      </c>
      <c r="E75" s="35"/>
      <c r="F75" s="35"/>
      <c r="G75" s="35"/>
      <c r="H75" s="175">
        <f>'detailed calculations'!B122</f>
        <v>0</v>
      </c>
      <c r="I75" s="35" t="s">
        <v>118</v>
      </c>
      <c r="J75" s="38"/>
      <c r="K75" s="27"/>
    </row>
    <row r="76" spans="1:23" ht="15" customHeight="1">
      <c r="A76" s="24"/>
      <c r="B76" s="176"/>
      <c r="C76" s="167">
        <f>advanced!C99</f>
        <v>0</v>
      </c>
      <c r="D76" s="168" t="s">
        <v>119</v>
      </c>
      <c r="E76" s="35"/>
      <c r="F76" s="35"/>
      <c r="G76" s="387">
        <f>IF(H74&gt;1200,"lactic acid exceeds recommended 4% acid malt level","")</f>
      </c>
      <c r="H76" s="387"/>
      <c r="I76" s="387"/>
      <c r="J76" s="387"/>
      <c r="K76" s="27"/>
      <c r="M76" s="32"/>
      <c r="N76" s="32"/>
      <c r="O76" s="32"/>
      <c r="P76" s="32"/>
      <c r="Q76" s="32"/>
      <c r="R76" s="32"/>
      <c r="S76" s="32"/>
      <c r="T76" s="32"/>
      <c r="U76" s="32"/>
      <c r="V76" s="32"/>
      <c r="W76" s="32"/>
    </row>
    <row r="77" spans="1:11" s="2" customFormat="1" ht="15" customHeight="1">
      <c r="A77" s="72"/>
      <c r="B77" s="41"/>
      <c r="C77" s="42"/>
      <c r="D77" s="42"/>
      <c r="E77" s="42"/>
      <c r="F77" s="42"/>
      <c r="G77" s="387"/>
      <c r="H77" s="387"/>
      <c r="I77" s="387"/>
      <c r="J77" s="387"/>
      <c r="K77" s="74"/>
    </row>
    <row r="78" spans="1:23" ht="12.75">
      <c r="A78" s="75"/>
      <c r="B78" s="25"/>
      <c r="C78" s="25"/>
      <c r="D78" s="25"/>
      <c r="E78" s="25"/>
      <c r="F78" s="25"/>
      <c r="G78" s="25"/>
      <c r="H78" s="25"/>
      <c r="I78" s="25"/>
      <c r="J78" s="25"/>
      <c r="K78" s="177"/>
      <c r="M78" s="32"/>
      <c r="N78" s="32"/>
      <c r="O78" s="32"/>
      <c r="P78" s="32"/>
      <c r="Q78" s="32"/>
      <c r="R78" s="32"/>
      <c r="S78" s="32"/>
      <c r="T78" s="32"/>
      <c r="U78" s="32"/>
      <c r="V78" s="32"/>
      <c r="W78" s="32"/>
    </row>
    <row r="79" spans="13:23" ht="12.75">
      <c r="M79" s="32"/>
      <c r="N79" s="32"/>
      <c r="O79" s="32"/>
      <c r="P79" s="32"/>
      <c r="Q79" s="32"/>
      <c r="R79" s="32"/>
      <c r="S79" s="32"/>
      <c r="T79" s="32"/>
      <c r="U79" s="32"/>
      <c r="V79" s="32"/>
      <c r="W79" s="32"/>
    </row>
    <row r="80" spans="1:11" ht="15.75" customHeight="1">
      <c r="A80" s="17"/>
      <c r="B80" s="178" t="s">
        <v>120</v>
      </c>
      <c r="C80" s="179"/>
      <c r="D80" s="180"/>
      <c r="E80" s="179"/>
      <c r="F80" s="179"/>
      <c r="G80" s="179"/>
      <c r="H80" s="179"/>
      <c r="I80" s="21"/>
      <c r="J80" s="21"/>
      <c r="K80" s="22"/>
    </row>
    <row r="81" spans="1:23" ht="15" customHeight="1">
      <c r="A81" s="24"/>
      <c r="B81" s="26"/>
      <c r="C81" s="26"/>
      <c r="D81" s="26"/>
      <c r="E81" s="26"/>
      <c r="F81" s="26"/>
      <c r="G81" s="26"/>
      <c r="H81" s="26"/>
      <c r="I81" s="26"/>
      <c r="J81" s="26"/>
      <c r="K81" s="27"/>
      <c r="N81" s="32"/>
      <c r="O81" s="32"/>
      <c r="P81" s="32"/>
      <c r="Q81" s="32"/>
      <c r="R81" s="32"/>
      <c r="S81" s="32"/>
      <c r="T81" s="32"/>
      <c r="U81" s="32"/>
      <c r="V81" s="32"/>
      <c r="W81" s="32"/>
    </row>
    <row r="82" spans="1:23" ht="15.75" customHeight="1">
      <c r="A82" s="24"/>
      <c r="B82" s="46"/>
      <c r="C82" s="47" t="s">
        <v>68</v>
      </c>
      <c r="D82" s="49"/>
      <c r="E82" s="49"/>
      <c r="F82" s="49"/>
      <c r="G82" s="49"/>
      <c r="H82" s="49"/>
      <c r="I82" s="49"/>
      <c r="J82" s="50"/>
      <c r="K82" s="27"/>
      <c r="M82" s="380" t="s">
        <v>121</v>
      </c>
      <c r="N82" s="32"/>
      <c r="O82" s="32"/>
      <c r="P82" s="32"/>
      <c r="Q82" s="32"/>
      <c r="R82" s="32"/>
      <c r="S82" s="32"/>
      <c r="T82" s="32"/>
      <c r="U82" s="32"/>
      <c r="V82" s="32"/>
      <c r="W82" s="32"/>
    </row>
    <row r="83" spans="1:23" ht="22.5">
      <c r="A83" s="24"/>
      <c r="B83" s="129" t="s">
        <v>71</v>
      </c>
      <c r="C83" s="130" t="s">
        <v>72</v>
      </c>
      <c r="D83" s="130" t="s">
        <v>73</v>
      </c>
      <c r="E83" s="130" t="s">
        <v>74</v>
      </c>
      <c r="F83" s="130" t="s">
        <v>75</v>
      </c>
      <c r="G83" s="130" t="s">
        <v>76</v>
      </c>
      <c r="H83" s="130" t="s">
        <v>122</v>
      </c>
      <c r="I83" s="130" t="s">
        <v>85</v>
      </c>
      <c r="J83" s="54"/>
      <c r="K83" s="27"/>
      <c r="M83" s="380"/>
      <c r="N83" s="32"/>
      <c r="O83" s="32"/>
      <c r="P83" s="32"/>
      <c r="Q83" s="32"/>
      <c r="R83" s="32"/>
      <c r="S83" s="32"/>
      <c r="T83" s="32"/>
      <c r="U83" s="32"/>
      <c r="V83" s="32"/>
      <c r="W83" s="32"/>
    </row>
    <row r="84" spans="1:23" ht="12.75">
      <c r="A84" s="24"/>
      <c r="B84" s="134" t="str">
        <f aca="true" t="shared" si="1" ref="B84:H84">$I$84</f>
        <v>g</v>
      </c>
      <c r="C84" s="135" t="str">
        <f t="shared" si="1"/>
        <v>g</v>
      </c>
      <c r="D84" s="135" t="str">
        <f t="shared" si="1"/>
        <v>g</v>
      </c>
      <c r="E84" s="135" t="str">
        <f t="shared" si="1"/>
        <v>g</v>
      </c>
      <c r="F84" s="135" t="str">
        <f t="shared" si="1"/>
        <v>g</v>
      </c>
      <c r="G84" s="135" t="str">
        <f t="shared" si="1"/>
        <v>g</v>
      </c>
      <c r="H84" s="135" t="str">
        <f t="shared" si="1"/>
        <v>g</v>
      </c>
      <c r="I84" s="373" t="s">
        <v>86</v>
      </c>
      <c r="J84" s="54"/>
      <c r="K84" s="27"/>
      <c r="M84" s="32"/>
      <c r="N84" s="32"/>
      <c r="O84" s="32"/>
      <c r="P84" s="32"/>
      <c r="Q84" s="32"/>
      <c r="R84" s="32"/>
      <c r="S84" s="32"/>
      <c r="T84" s="32"/>
      <c r="U84" s="32"/>
      <c r="V84" s="32"/>
      <c r="W84" s="32"/>
    </row>
    <row r="85" spans="1:23" ht="12.75">
      <c r="A85" s="24"/>
      <c r="B85" s="181">
        <f>advanced!B108</f>
        <v>0</v>
      </c>
      <c r="C85" s="182">
        <f>advanced!C108</f>
        <v>0</v>
      </c>
      <c r="D85" s="182">
        <f>advanced!D108</f>
        <v>0</v>
      </c>
      <c r="E85" s="182">
        <f>advanced!E108</f>
        <v>0</v>
      </c>
      <c r="F85" s="182">
        <f>advanced!F108</f>
        <v>0</v>
      </c>
      <c r="G85" s="182">
        <f>advanced!G108</f>
        <v>0</v>
      </c>
      <c r="H85" s="182">
        <f>advanced!H108</f>
        <v>0</v>
      </c>
      <c r="I85" s="1" t="s">
        <v>123</v>
      </c>
      <c r="J85" s="38"/>
      <c r="K85" s="27"/>
      <c r="M85" s="32"/>
      <c r="N85" s="32"/>
      <c r="O85" s="32"/>
      <c r="P85" s="32"/>
      <c r="Q85" s="32"/>
      <c r="R85" s="32"/>
      <c r="S85" s="32"/>
      <c r="T85" s="32"/>
      <c r="U85" s="32"/>
      <c r="V85" s="32"/>
      <c r="W85" s="32"/>
    </row>
    <row r="86" spans="1:23" ht="12.75">
      <c r="A86" s="24"/>
      <c r="B86" s="181">
        <f>advanced!B109</f>
        <v>0</v>
      </c>
      <c r="C86" s="182">
        <f>advanced!C109</f>
        <v>0</v>
      </c>
      <c r="D86" s="182">
        <f>advanced!D109</f>
        <v>0</v>
      </c>
      <c r="E86" s="182">
        <f>advanced!E109</f>
        <v>0</v>
      </c>
      <c r="F86" s="182">
        <f>advanced!F109</f>
        <v>0</v>
      </c>
      <c r="G86" s="182">
        <f>advanced!G109</f>
        <v>0</v>
      </c>
      <c r="H86" s="182">
        <f>advanced!H109</f>
        <v>0</v>
      </c>
      <c r="I86" s="1" t="s">
        <v>124</v>
      </c>
      <c r="J86" s="38"/>
      <c r="K86" s="27"/>
      <c r="M86" s="32"/>
      <c r="N86" s="32"/>
      <c r="O86" s="32"/>
      <c r="P86" s="32"/>
      <c r="Q86" s="32"/>
      <c r="R86" s="32"/>
      <c r="S86" s="32"/>
      <c r="T86" s="32"/>
      <c r="U86" s="32"/>
      <c r="V86" s="32"/>
      <c r="W86" s="32"/>
    </row>
    <row r="87" spans="1:23" ht="12.75">
      <c r="A87" s="24"/>
      <c r="B87" s="183">
        <f>advanced!B110</f>
        <v>0</v>
      </c>
      <c r="C87" s="104">
        <f>advanced!C110</f>
        <v>0</v>
      </c>
      <c r="D87" s="104">
        <f>advanced!D110</f>
        <v>0</v>
      </c>
      <c r="E87" s="104">
        <f>advanced!E110</f>
        <v>0</v>
      </c>
      <c r="F87" s="104">
        <f>advanced!F110</f>
        <v>0</v>
      </c>
      <c r="G87" s="104">
        <f>advanced!G110</f>
        <v>0</v>
      </c>
      <c r="H87" s="104">
        <f>advanced!H110</f>
        <v>0</v>
      </c>
      <c r="I87" s="67" t="s">
        <v>125</v>
      </c>
      <c r="J87" s="45"/>
      <c r="K87" s="27"/>
      <c r="M87" s="32"/>
      <c r="N87" s="32"/>
      <c r="O87" s="32"/>
      <c r="P87" s="32"/>
      <c r="Q87" s="32"/>
      <c r="R87" s="32"/>
      <c r="S87" s="32"/>
      <c r="T87" s="32"/>
      <c r="U87" s="32"/>
      <c r="V87" s="32"/>
      <c r="W87" s="32"/>
    </row>
    <row r="88" spans="1:23" ht="12.75">
      <c r="A88" s="24"/>
      <c r="B88" s="73"/>
      <c r="C88" s="73"/>
      <c r="D88" s="73"/>
      <c r="E88" s="73"/>
      <c r="F88" s="73"/>
      <c r="G88" s="73"/>
      <c r="H88" s="73"/>
      <c r="I88" s="73"/>
      <c r="J88" s="73"/>
      <c r="K88" s="27"/>
      <c r="M88" s="32"/>
      <c r="N88" s="32"/>
      <c r="O88" s="32"/>
      <c r="P88" s="32"/>
      <c r="Q88" s="32"/>
      <c r="R88" s="32"/>
      <c r="S88" s="32"/>
      <c r="T88" s="32"/>
      <c r="U88" s="32"/>
      <c r="V88" s="32"/>
      <c r="W88" s="32"/>
    </row>
    <row r="89" spans="1:23" ht="16.5" customHeight="1">
      <c r="A89" s="24"/>
      <c r="B89" s="28"/>
      <c r="C89" s="29" t="s">
        <v>126</v>
      </c>
      <c r="D89" s="30"/>
      <c r="E89" s="30"/>
      <c r="F89" s="30"/>
      <c r="G89" s="30"/>
      <c r="H89" s="30"/>
      <c r="I89" s="30"/>
      <c r="J89" s="31"/>
      <c r="K89" s="27"/>
      <c r="M89" s="380" t="s">
        <v>127</v>
      </c>
      <c r="N89" s="32"/>
      <c r="O89" s="32"/>
      <c r="P89" s="32"/>
      <c r="Q89" s="32"/>
      <c r="R89" s="32"/>
      <c r="S89" s="32"/>
      <c r="T89" s="32"/>
      <c r="U89" s="32"/>
      <c r="V89" s="32"/>
      <c r="W89" s="32"/>
    </row>
    <row r="90" spans="1:13" ht="12.75">
      <c r="A90" s="24"/>
      <c r="B90" s="33"/>
      <c r="C90" s="35" t="s">
        <v>128</v>
      </c>
      <c r="D90" s="82"/>
      <c r="H90" s="35"/>
      <c r="I90" s="35"/>
      <c r="J90" s="38"/>
      <c r="K90" s="27"/>
      <c r="M90" s="380"/>
    </row>
    <row r="91" spans="1:13" ht="15" customHeight="1">
      <c r="A91" s="24"/>
      <c r="B91" s="51"/>
      <c r="C91" s="184" t="str">
        <f>advanced!C114</f>
        <v>lactic acid (88 %)</v>
      </c>
      <c r="D91" s="185">
        <f>advanced!D114</f>
        <v>0</v>
      </c>
      <c r="E91" s="186" t="s">
        <v>91</v>
      </c>
      <c r="F91" s="165" t="s">
        <v>129</v>
      </c>
      <c r="H91" s="187" t="str">
        <f>advanced!H114</f>
        <v>posphoric acid (10%)</v>
      </c>
      <c r="I91" s="185">
        <f>advanced!I114</f>
        <v>0</v>
      </c>
      <c r="J91" s="54" t="s">
        <v>91</v>
      </c>
      <c r="K91" s="27"/>
      <c r="M91" s="380"/>
    </row>
    <row r="92" spans="1:13" ht="12.75">
      <c r="A92" s="24"/>
      <c r="B92" s="102"/>
      <c r="C92" s="188"/>
      <c r="D92" s="189"/>
      <c r="E92" s="190"/>
      <c r="F92" s="67"/>
      <c r="G92" s="67"/>
      <c r="H92" s="67"/>
      <c r="I92" s="67"/>
      <c r="J92" s="105"/>
      <c r="K92" s="27"/>
      <c r="M92" s="380"/>
    </row>
    <row r="93" spans="1:11" ht="12.75">
      <c r="A93" s="75"/>
      <c r="B93" s="25"/>
      <c r="C93" s="25"/>
      <c r="D93" s="25"/>
      <c r="E93" s="25"/>
      <c r="F93" s="25"/>
      <c r="G93" s="25"/>
      <c r="H93" s="25"/>
      <c r="I93" s="25"/>
      <c r="J93" s="25"/>
      <c r="K93" s="177"/>
    </row>
    <row r="96" spans="2:33" s="191" customFormat="1" ht="12.75">
      <c r="B96" s="191" t="s">
        <v>130</v>
      </c>
      <c r="AB96" s="2"/>
      <c r="AC96" s="2"/>
      <c r="AD96" s="2"/>
      <c r="AE96" s="2"/>
      <c r="AF96" s="2"/>
      <c r="AG96" s="2"/>
    </row>
    <row r="97" spans="2:33" s="191" customFormat="1" ht="12.75">
      <c r="B97" s="192" t="s">
        <v>131</v>
      </c>
      <c r="AB97" s="2"/>
      <c r="AC97" s="2"/>
      <c r="AD97" s="2"/>
      <c r="AE97" s="2"/>
      <c r="AF97" s="2"/>
      <c r="AG97" s="2"/>
    </row>
    <row r="98" spans="2:33" s="191" customFormat="1" ht="11.25">
      <c r="B98" s="191" t="s">
        <v>132</v>
      </c>
      <c r="AB98" s="193"/>
      <c r="AC98" s="193"/>
      <c r="AD98" s="193"/>
      <c r="AE98" s="193"/>
      <c r="AF98" s="193"/>
      <c r="AG98" s="193"/>
    </row>
    <row r="100" ht="12.75">
      <c r="B100" s="194"/>
    </row>
    <row r="101" spans="2:5" ht="12.75">
      <c r="B101" s="194" t="s">
        <v>133</v>
      </c>
      <c r="C101" s="194"/>
      <c r="D101" s="194"/>
      <c r="E101" s="194"/>
    </row>
    <row r="102" spans="2:5" ht="12.75">
      <c r="B102" s="194" t="s">
        <v>91</v>
      </c>
      <c r="C102" s="194"/>
      <c r="D102" s="194"/>
      <c r="E102" s="194"/>
    </row>
    <row r="103" spans="2:5" ht="12.75">
      <c r="B103" s="194" t="s">
        <v>86</v>
      </c>
      <c r="C103" s="194"/>
      <c r="D103" s="194"/>
      <c r="E103" s="194"/>
    </row>
    <row r="104" spans="2:5" ht="12.75">
      <c r="B104" s="194" t="s">
        <v>5</v>
      </c>
      <c r="C104" s="194"/>
      <c r="D104" s="194"/>
      <c r="E104" s="194"/>
    </row>
    <row r="105" spans="2:5" ht="12.75">
      <c r="B105" s="194" t="s">
        <v>134</v>
      </c>
      <c r="C105" s="194"/>
      <c r="D105" s="194"/>
      <c r="E105" s="194"/>
    </row>
    <row r="106" spans="2:5" ht="12.75">
      <c r="B106" s="194"/>
      <c r="C106" s="194"/>
      <c r="D106" s="194"/>
      <c r="E106" s="194"/>
    </row>
    <row r="107" spans="2:5" ht="12.75">
      <c r="B107" s="194" t="s">
        <v>135</v>
      </c>
      <c r="C107" s="194"/>
      <c r="D107" s="194"/>
      <c r="E107" s="194"/>
    </row>
    <row r="108" spans="2:5" ht="12.75">
      <c r="B108" s="194" t="s">
        <v>15</v>
      </c>
      <c r="C108" s="194"/>
      <c r="D108" s="194"/>
      <c r="E108" s="194"/>
    </row>
    <row r="109" spans="2:5" ht="12.75">
      <c r="B109" s="194" t="s">
        <v>31</v>
      </c>
      <c r="C109" s="194"/>
      <c r="D109" s="194"/>
      <c r="E109" s="194"/>
    </row>
    <row r="110" spans="2:5" ht="12.75">
      <c r="B110" s="194" t="s">
        <v>86</v>
      </c>
      <c r="C110" s="194"/>
      <c r="D110" s="194"/>
      <c r="E110" s="194"/>
    </row>
    <row r="111" spans="2:5" ht="12.75">
      <c r="B111" s="194"/>
      <c r="C111" s="194"/>
      <c r="D111" s="194"/>
      <c r="E111" s="194"/>
    </row>
    <row r="112" spans="2:5" ht="12.75">
      <c r="B112" s="194" t="s">
        <v>136</v>
      </c>
      <c r="C112" s="194"/>
      <c r="D112" s="194"/>
      <c r="E112" s="194"/>
    </row>
    <row r="113" spans="2:5" ht="12.75">
      <c r="B113" s="194" t="s">
        <v>37</v>
      </c>
      <c r="C113" s="194"/>
      <c r="D113" s="194"/>
      <c r="E113" s="194"/>
    </row>
    <row r="114" spans="2:5" ht="12.75">
      <c r="B114" s="194" t="s">
        <v>137</v>
      </c>
      <c r="C114" s="194"/>
      <c r="D114" s="194"/>
      <c r="E114" s="194"/>
    </row>
    <row r="115" spans="2:5" ht="12.75">
      <c r="B115" s="194"/>
      <c r="C115" s="194"/>
      <c r="D115" s="194"/>
      <c r="E115" s="194"/>
    </row>
    <row r="116" spans="2:5" ht="12.75">
      <c r="B116" s="194" t="s">
        <v>138</v>
      </c>
      <c r="C116" s="194"/>
      <c r="D116" s="194"/>
      <c r="E116" s="194"/>
    </row>
    <row r="117" spans="2:5" ht="12.75">
      <c r="B117" s="194" t="s">
        <v>86</v>
      </c>
      <c r="C117" s="194"/>
      <c r="D117" s="194"/>
      <c r="E117" s="194"/>
    </row>
    <row r="118" spans="2:5" ht="12.75">
      <c r="B118" s="194" t="s">
        <v>139</v>
      </c>
      <c r="C118" s="194"/>
      <c r="D118" s="194"/>
      <c r="E118" s="194"/>
    </row>
    <row r="119" ht="12.75">
      <c r="B119" s="194"/>
    </row>
    <row r="120" ht="12.75">
      <c r="B120" s="194" t="s">
        <v>140</v>
      </c>
    </row>
    <row r="121" ht="12.75">
      <c r="B121" s="194" t="s">
        <v>141</v>
      </c>
    </row>
    <row r="122" ht="12.75">
      <c r="B122" s="194" t="s">
        <v>8</v>
      </c>
    </row>
    <row r="123" ht="12.75">
      <c r="B123" s="194" t="s">
        <v>142</v>
      </c>
    </row>
    <row r="124" ht="12.75">
      <c r="B124" s="194"/>
    </row>
    <row r="125" ht="12.75">
      <c r="B125" s="194" t="s">
        <v>143</v>
      </c>
    </row>
    <row r="126" ht="12.75">
      <c r="B126" s="194" t="s">
        <v>144</v>
      </c>
    </row>
    <row r="127" ht="12.75">
      <c r="B127" s="194" t="s">
        <v>5</v>
      </c>
    </row>
    <row r="128" ht="12.75">
      <c r="B128" s="194"/>
    </row>
    <row r="129" ht="12.75">
      <c r="B129" s="194" t="str">
        <f>advanced!B184</f>
        <v>"salts added to" options</v>
      </c>
    </row>
    <row r="130" ht="12.75">
      <c r="B130" s="194" t="str">
        <f>advanced!B185</f>
        <v>mash and sparge</v>
      </c>
    </row>
    <row r="131" ht="12.75">
      <c r="B131" s="194" t="str">
        <f>advanced!B186</f>
        <v>mash only</v>
      </c>
    </row>
    <row r="132" ht="12.75">
      <c r="B132" s="194">
        <f>advanced!B187</f>
        <v>0</v>
      </c>
    </row>
    <row r="133" ht="12.75">
      <c r="B133" s="194" t="str">
        <f>advanced!B188</f>
        <v>"water profile" options</v>
      </c>
    </row>
    <row r="134" ht="12.75">
      <c r="B134" s="194" t="str">
        <f>advanced!B189</f>
        <v>overall water</v>
      </c>
    </row>
    <row r="135" ht="12.75">
      <c r="B135" s="194" t="str">
        <f>advanced!B190</f>
        <v>strike water only</v>
      </c>
    </row>
    <row r="136" ht="12.75">
      <c r="B136" s="194"/>
    </row>
  </sheetData>
  <sheetProtection sheet="1" objects="1" scenarios="1"/>
  <mergeCells count="14">
    <mergeCell ref="M82:M83"/>
    <mergeCell ref="M89:M92"/>
    <mergeCell ref="M48:M54"/>
    <mergeCell ref="G50:H50"/>
    <mergeCell ref="M58:M62"/>
    <mergeCell ref="M67:M73"/>
    <mergeCell ref="G68:H68"/>
    <mergeCell ref="G76:J77"/>
    <mergeCell ref="M6:M7"/>
    <mergeCell ref="M9:M15"/>
    <mergeCell ref="M17:M31"/>
    <mergeCell ref="I25:J29"/>
    <mergeCell ref="M33:M36"/>
    <mergeCell ref="M37:M46"/>
  </mergeCells>
  <dataValidations count="8">
    <dataValidation type="list" allowBlank="1" showErrorMessage="1" sqref="I84">
      <formula1>$B$117:$B$118</formula1>
      <formula2>0</formula2>
    </dataValidation>
    <dataValidation type="list" allowBlank="1" showErrorMessage="1" sqref="F60:F62">
      <formula1>$B$102:$B$105</formula1>
      <formula2>0</formula2>
    </dataValidation>
    <dataValidation type="list" allowBlank="1" showErrorMessage="1" sqref="I53">
      <formula1>$B$108:$B$110</formula1>
      <formula2>0</formula2>
    </dataValidation>
    <dataValidation type="list" allowBlank="1" showErrorMessage="1" sqref="G23">
      <formula1>$B$113:$B$114</formula1>
      <formula2>0</formula2>
    </dataValidation>
    <dataValidation type="list" allowBlank="1" showErrorMessage="1" sqref="D6">
      <formula1>$B$126:$B$127</formula1>
      <formula2>0</formula2>
    </dataValidation>
    <dataValidation type="list" allowBlank="1" showErrorMessage="1" sqref="D7">
      <formula1>$B$121:$B$123</formula1>
      <formula2>0</formula2>
    </dataValidation>
    <dataValidation type="list" allowBlank="1" showErrorMessage="1" sqref="G50:H50">
      <formula1>$B$130:$B$131</formula1>
      <formula2>0</formula2>
    </dataValidation>
    <dataValidation type="list" allowBlank="1" showErrorMessage="1" sqref="G68:H68">
      <formula1>$B$134:$B$135</formula1>
      <formula2>0</formula2>
    </dataValidation>
  </dataValidations>
  <hyperlinks>
    <hyperlink ref="B97" r:id="rId1" display="for license details see http://creativecommons.org/licenses/by-nc/3.0/"/>
  </hyperlinks>
  <printOptions/>
  <pageMargins left="0.7875" right="0.7875" top="1.0527777777777778" bottom="1.0527777777777778" header="0.7875" footer="0.7875"/>
  <pageSetup horizontalDpi="300" verticalDpi="300" orientation="portrait" scale="110" r:id="rId2"/>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IV243"/>
  <sheetViews>
    <sheetView showGridLines="0" zoomScalePageLayoutView="0" workbookViewId="0" topLeftCell="A1">
      <selection activeCell="B1" sqref="B1"/>
    </sheetView>
  </sheetViews>
  <sheetFormatPr defaultColWidth="9.140625" defaultRowHeight="12.75"/>
  <cols>
    <col min="1" max="1" width="2.57421875" style="1" customWidth="1"/>
    <col min="2" max="8" width="9.00390625" style="1" customWidth="1"/>
    <col min="9" max="9" width="8.140625" style="1" customWidth="1"/>
    <col min="10" max="10" width="5.140625" style="1" customWidth="1"/>
    <col min="11" max="11" width="1.57421875" style="1" customWidth="1"/>
    <col min="12" max="12" width="6.421875" style="1" customWidth="1"/>
    <col min="13" max="13" width="88.140625" style="1" customWidth="1"/>
    <col min="14" max="14" width="9.28125" style="1" customWidth="1"/>
    <col min="15" max="15" width="15.57421875" style="1" customWidth="1"/>
    <col min="16" max="16" width="7.140625" style="1" customWidth="1"/>
    <col min="17" max="17" width="12.28125" style="1" customWidth="1"/>
    <col min="18" max="18" width="5.140625" style="1" customWidth="1"/>
    <col min="19" max="19" width="11.00390625" style="1" customWidth="1"/>
    <col min="20" max="20" width="4.7109375" style="1" customWidth="1"/>
    <col min="21" max="28" width="3.28125" style="1" customWidth="1"/>
    <col min="29" max="29" width="36.28125" style="2" customWidth="1"/>
    <col min="30" max="30" width="11.421875" style="2" customWidth="1"/>
    <col min="31" max="32" width="7.7109375" style="2" customWidth="1"/>
    <col min="33" max="33" width="7.7109375" style="1" customWidth="1"/>
    <col min="34" max="37" width="3.28125" style="1" customWidth="1"/>
    <col min="38" max="16384" width="9.140625" style="1" customWidth="1"/>
  </cols>
  <sheetData>
    <row r="1" spans="5:13" ht="18">
      <c r="E1" s="3"/>
      <c r="F1" s="3"/>
      <c r="G1" s="3"/>
      <c r="H1" s="3"/>
      <c r="I1" s="3"/>
      <c r="J1" s="3"/>
      <c r="K1" s="3"/>
      <c r="L1" s="3"/>
      <c r="M1" s="3"/>
    </row>
    <row r="2" spans="2:13" ht="20.25">
      <c r="B2" s="3"/>
      <c r="C2" s="4" t="s">
        <v>145</v>
      </c>
      <c r="D2" s="3"/>
      <c r="E2" s="3"/>
      <c r="F2" s="3"/>
      <c r="G2" s="3"/>
      <c r="H2" s="3"/>
      <c r="I2" s="3"/>
      <c r="J2" s="3"/>
      <c r="K2" s="3"/>
      <c r="L2" s="3"/>
      <c r="M2" s="165" t="s">
        <v>1</v>
      </c>
    </row>
    <row r="3" spans="2:13" ht="12.75" customHeight="1">
      <c r="B3" s="6"/>
      <c r="C3" s="1" t="s">
        <v>2</v>
      </c>
      <c r="E3" s="3"/>
      <c r="F3" s="3"/>
      <c r="G3" s="3"/>
      <c r="H3" s="3"/>
      <c r="I3" s="3"/>
      <c r="J3" s="3"/>
      <c r="K3" s="3"/>
      <c r="L3" s="3"/>
      <c r="M3" s="3"/>
    </row>
    <row r="4" spans="2:13" ht="12.75" customHeight="1">
      <c r="B4" s="7"/>
      <c r="C4" s="1" t="s">
        <v>3</v>
      </c>
      <c r="E4" s="3"/>
      <c r="F4" s="3"/>
      <c r="G4" s="3"/>
      <c r="H4" s="3"/>
      <c r="I4" s="3"/>
      <c r="J4" s="3"/>
      <c r="K4" s="3"/>
      <c r="L4" s="3"/>
      <c r="M4" s="3"/>
    </row>
    <row r="5" ht="12.75" customHeight="1"/>
    <row r="6" spans="2:20" ht="12.75" customHeight="1">
      <c r="B6" s="28"/>
      <c r="C6" s="125" t="s">
        <v>4</v>
      </c>
      <c r="D6" s="195" t="str">
        <f>basic!D6</f>
        <v>lb</v>
      </c>
      <c r="E6" s="1">
        <f>IF(D6="kg","",IF(D6="lb","","bad unit"))</f>
      </c>
      <c r="F6" s="2"/>
      <c r="G6" s="2"/>
      <c r="M6" s="379" t="s">
        <v>6</v>
      </c>
      <c r="N6" s="11"/>
      <c r="O6" s="11"/>
      <c r="P6" s="11"/>
      <c r="Q6" s="11"/>
      <c r="R6" s="11"/>
      <c r="S6" s="11"/>
      <c r="T6" s="11"/>
    </row>
    <row r="7" spans="2:20" ht="12.75" customHeight="1">
      <c r="B7" s="41"/>
      <c r="C7" s="103" t="s">
        <v>7</v>
      </c>
      <c r="D7" s="196" t="str">
        <f>basic!D7</f>
        <v>gal</v>
      </c>
      <c r="E7" s="1">
        <f>IF(D7="l","",IF(D7="qt","",IF(D7="gal","","bad unit")))</f>
      </c>
      <c r="M7" s="379"/>
      <c r="N7" s="11"/>
      <c r="O7" s="11"/>
      <c r="P7" s="11"/>
      <c r="Q7" s="11"/>
      <c r="R7" s="11"/>
      <c r="S7" s="11"/>
      <c r="T7" s="11"/>
    </row>
    <row r="8" ht="12.75" customHeight="1"/>
    <row r="9" spans="2:23" ht="18" customHeight="1">
      <c r="B9" s="28"/>
      <c r="C9" s="29" t="s">
        <v>11</v>
      </c>
      <c r="D9" s="30"/>
      <c r="E9" s="30"/>
      <c r="F9" s="30"/>
      <c r="G9" s="30"/>
      <c r="H9" s="30"/>
      <c r="I9" s="30"/>
      <c r="J9" s="31"/>
      <c r="M9" s="380" t="s">
        <v>146</v>
      </c>
      <c r="N9" s="32"/>
      <c r="O9" s="32"/>
      <c r="P9" s="32"/>
      <c r="Q9" s="32"/>
      <c r="R9" s="32"/>
      <c r="S9" s="32"/>
      <c r="T9" s="32"/>
      <c r="U9" s="32"/>
      <c r="V9" s="32"/>
      <c r="W9" s="32"/>
    </row>
    <row r="10" spans="2:23" ht="12.75" customHeight="1">
      <c r="B10" s="33"/>
      <c r="C10" s="34" t="s">
        <v>12</v>
      </c>
      <c r="D10" s="34" t="s">
        <v>13</v>
      </c>
      <c r="E10" s="35"/>
      <c r="F10" s="35"/>
      <c r="G10" s="36" t="s">
        <v>14</v>
      </c>
      <c r="H10" s="37">
        <f>C12*(1-constants!B6/100)/17.8*7.14</f>
        <v>0</v>
      </c>
      <c r="I10" s="35" t="s">
        <v>15</v>
      </c>
      <c r="J10" s="38"/>
      <c r="M10" s="380"/>
      <c r="N10" s="32"/>
      <c r="O10" s="32"/>
      <c r="P10" s="32"/>
      <c r="Q10" s="32"/>
      <c r="R10" s="32"/>
      <c r="S10" s="32"/>
      <c r="T10" s="32"/>
      <c r="U10" s="32"/>
      <c r="V10" s="32"/>
      <c r="W10" s="32"/>
    </row>
    <row r="11" spans="2:23" ht="12.75" customHeight="1">
      <c r="B11" s="39"/>
      <c r="C11" s="152">
        <f>basic!C13</f>
        <v>0</v>
      </c>
      <c r="D11" s="152">
        <f>basic!D13</f>
        <v>0</v>
      </c>
      <c r="E11" s="35" t="s">
        <v>16</v>
      </c>
      <c r="F11" s="35"/>
      <c r="G11" s="36" t="s">
        <v>17</v>
      </c>
      <c r="H11" s="37">
        <f>C12*(constants!B6/100)/17.8*4.33</f>
        <v>0</v>
      </c>
      <c r="I11" s="35" t="s">
        <v>15</v>
      </c>
      <c r="J11" s="38"/>
      <c r="M11" s="380"/>
      <c r="N11" s="32"/>
      <c r="O11" s="32"/>
      <c r="P11" s="32"/>
      <c r="Q11" s="32"/>
      <c r="R11" s="32"/>
      <c r="S11" s="32"/>
      <c r="T11" s="32"/>
      <c r="U11" s="32"/>
      <c r="V11" s="32"/>
      <c r="W11" s="32"/>
    </row>
    <row r="12" spans="2:23" ht="12.75" customHeight="1">
      <c r="B12" s="39" t="s">
        <v>18</v>
      </c>
      <c r="C12" s="152">
        <f>basic!C14</f>
        <v>0</v>
      </c>
      <c r="D12" s="152">
        <f>basic!D14</f>
        <v>0</v>
      </c>
      <c r="E12" s="35" t="s">
        <v>19</v>
      </c>
      <c r="F12" s="35"/>
      <c r="G12" s="36" t="s">
        <v>20</v>
      </c>
      <c r="H12" s="37">
        <f>D12</f>
        <v>0</v>
      </c>
      <c r="I12" s="35" t="s">
        <v>21</v>
      </c>
      <c r="J12" s="38"/>
      <c r="M12" s="380"/>
      <c r="N12" s="32"/>
      <c r="O12" s="32"/>
      <c r="P12" s="32"/>
      <c r="Q12" s="32"/>
      <c r="R12" s="32"/>
      <c r="S12" s="32"/>
      <c r="T12" s="32"/>
      <c r="U12" s="32"/>
      <c r="V12" s="32"/>
      <c r="W12" s="32"/>
    </row>
    <row r="13" spans="2:23" ht="12.75" customHeight="1">
      <c r="B13" s="41"/>
      <c r="C13" s="42"/>
      <c r="D13" s="42"/>
      <c r="E13" s="42"/>
      <c r="F13" s="42"/>
      <c r="G13" s="43"/>
      <c r="H13" s="44"/>
      <c r="I13" s="42"/>
      <c r="J13" s="45"/>
      <c r="M13" s="380"/>
      <c r="N13" s="32"/>
      <c r="O13" s="32"/>
      <c r="P13" s="32"/>
      <c r="Q13" s="32"/>
      <c r="R13" s="32"/>
      <c r="S13" s="32"/>
      <c r="T13" s="32"/>
      <c r="U13" s="32"/>
      <c r="V13" s="32"/>
      <c r="W13" s="32"/>
    </row>
    <row r="14" spans="1:23" ht="12.75" customHeight="1">
      <c r="A14" s="2"/>
      <c r="B14" s="2"/>
      <c r="C14" s="2"/>
      <c r="D14" s="2"/>
      <c r="E14" s="2"/>
      <c r="F14" s="2"/>
      <c r="G14" s="2"/>
      <c r="H14" s="2"/>
      <c r="I14" s="2"/>
      <c r="J14" s="2"/>
      <c r="K14" s="2"/>
      <c r="L14" s="2"/>
      <c r="M14" s="380"/>
      <c r="N14" s="32"/>
      <c r="O14" s="32"/>
      <c r="P14" s="32"/>
      <c r="Q14" s="32"/>
      <c r="R14" s="32"/>
      <c r="S14" s="32"/>
      <c r="T14" s="32"/>
      <c r="U14" s="32"/>
      <c r="V14" s="32"/>
      <c r="W14" s="32"/>
    </row>
    <row r="15" spans="1:23" ht="12.75" customHeight="1">
      <c r="A15" s="2"/>
      <c r="B15" s="2"/>
      <c r="C15" s="2"/>
      <c r="D15" s="2"/>
      <c r="E15" s="2"/>
      <c r="F15" s="2"/>
      <c r="G15" s="2"/>
      <c r="H15" s="2"/>
      <c r="I15" s="2"/>
      <c r="J15" s="2"/>
      <c r="K15" s="2"/>
      <c r="L15" s="2"/>
      <c r="M15" s="380"/>
      <c r="N15" s="32"/>
      <c r="O15" s="32"/>
      <c r="P15" s="32"/>
      <c r="Q15" s="32"/>
      <c r="R15" s="32"/>
      <c r="S15" s="32"/>
      <c r="T15" s="32"/>
      <c r="U15" s="32"/>
      <c r="V15" s="32"/>
      <c r="W15" s="32"/>
    </row>
    <row r="16" spans="2:7" ht="12.75" customHeight="1">
      <c r="B16" s="67"/>
      <c r="C16" s="67"/>
      <c r="D16" s="67"/>
      <c r="E16" s="67"/>
      <c r="F16" s="67"/>
      <c r="G16" s="67"/>
    </row>
    <row r="17" spans="2:23" ht="15" customHeight="1">
      <c r="B17" s="46"/>
      <c r="C17" s="47" t="s">
        <v>147</v>
      </c>
      <c r="D17" s="48"/>
      <c r="E17" s="48"/>
      <c r="F17" s="49"/>
      <c r="G17" s="49"/>
      <c r="H17" s="49"/>
      <c r="I17" s="49"/>
      <c r="J17" s="50"/>
      <c r="M17" s="380" t="s">
        <v>148</v>
      </c>
      <c r="N17" s="32"/>
      <c r="O17" s="32"/>
      <c r="P17" s="32"/>
      <c r="Q17" s="32"/>
      <c r="R17" s="32"/>
      <c r="S17" s="32"/>
      <c r="T17" s="32"/>
      <c r="U17" s="32"/>
      <c r="V17" s="32"/>
      <c r="W17" s="32"/>
    </row>
    <row r="18" spans="2:23" ht="12.75">
      <c r="B18" s="51"/>
      <c r="C18" s="1" t="s">
        <v>24</v>
      </c>
      <c r="D18" s="197"/>
      <c r="E18" s="40">
        <f>basic!E18</f>
        <v>100</v>
      </c>
      <c r="F18" s="1" t="s">
        <v>25</v>
      </c>
      <c r="H18" s="60">
        <f>IF(SUM(H20:H26)=0,0,(H20+H21+H22-H23-H24-H26)/SUM(H20:H26)*50)</f>
        <v>0</v>
      </c>
      <c r="I18" s="198" t="s">
        <v>26</v>
      </c>
      <c r="J18" s="54"/>
      <c r="M18" s="380"/>
      <c r="N18" s="32"/>
      <c r="O18" s="32"/>
      <c r="P18" s="32"/>
      <c r="Q18" s="32"/>
      <c r="R18" s="32"/>
      <c r="S18" s="32"/>
      <c r="T18" s="32"/>
      <c r="U18" s="32"/>
      <c r="V18" s="32"/>
      <c r="W18" s="32"/>
    </row>
    <row r="19" spans="2:23" ht="12.75">
      <c r="B19" s="33"/>
      <c r="C19" s="199" t="s">
        <v>27</v>
      </c>
      <c r="D19" s="55" t="s">
        <v>28</v>
      </c>
      <c r="E19" s="56" t="s">
        <v>29</v>
      </c>
      <c r="F19" s="199" t="s">
        <v>30</v>
      </c>
      <c r="H19" s="57"/>
      <c r="I19" s="57"/>
      <c r="J19" s="54"/>
      <c r="M19" s="380"/>
      <c r="N19" s="32"/>
      <c r="O19" s="32"/>
      <c r="P19" s="32"/>
      <c r="Q19" s="32"/>
      <c r="R19" s="32"/>
      <c r="S19" s="32"/>
      <c r="T19" s="32"/>
      <c r="U19" s="32"/>
      <c r="V19" s="32"/>
      <c r="W19" s="32"/>
    </row>
    <row r="20" spans="2:23" ht="12.75">
      <c r="B20" s="200" t="s">
        <v>14</v>
      </c>
      <c r="C20" s="59">
        <f>basic!C20</f>
        <v>0</v>
      </c>
      <c r="D20" s="40">
        <f>basic!D20</f>
        <v>0</v>
      </c>
      <c r="E20" s="201" t="s">
        <v>31</v>
      </c>
      <c r="F20" s="60">
        <f>(C20*E$18+D20*(100-E$18))/100</f>
        <v>0</v>
      </c>
      <c r="G20" s="202" t="s">
        <v>32</v>
      </c>
      <c r="H20" s="52">
        <f>F20/7.14</f>
        <v>0</v>
      </c>
      <c r="I20" s="203" t="s">
        <v>149</v>
      </c>
      <c r="J20" s="54"/>
      <c r="M20" s="380"/>
      <c r="N20" s="32"/>
      <c r="O20" s="32"/>
      <c r="P20" s="32"/>
      <c r="Q20" s="32"/>
      <c r="R20" s="32"/>
      <c r="S20" s="32"/>
      <c r="T20" s="32"/>
      <c r="U20" s="32"/>
      <c r="V20" s="32"/>
      <c r="W20" s="32"/>
    </row>
    <row r="21" spans="2:23" ht="12.75">
      <c r="B21" s="204" t="s">
        <v>17</v>
      </c>
      <c r="C21" s="59">
        <f>basic!C21</f>
        <v>0</v>
      </c>
      <c r="D21" s="40">
        <f>basic!D21</f>
        <v>0</v>
      </c>
      <c r="E21" s="201" t="s">
        <v>31</v>
      </c>
      <c r="F21" s="60">
        <f>(C21*E$18+D21*(100-E$18))/100</f>
        <v>0</v>
      </c>
      <c r="G21" s="202" t="s">
        <v>33</v>
      </c>
      <c r="H21" s="52">
        <f>F21/4.33</f>
        <v>0</v>
      </c>
      <c r="I21" s="203" t="s">
        <v>150</v>
      </c>
      <c r="J21" s="54"/>
      <c r="M21" s="380"/>
      <c r="N21" s="32"/>
      <c r="O21" s="32"/>
      <c r="P21" s="32"/>
      <c r="Q21" s="32"/>
      <c r="R21" s="32"/>
      <c r="S21" s="32"/>
      <c r="T21" s="32"/>
      <c r="U21" s="32"/>
      <c r="V21" s="32"/>
      <c r="W21" s="32"/>
    </row>
    <row r="22" spans="2:23" ht="12.75">
      <c r="B22" s="200" t="s">
        <v>34</v>
      </c>
      <c r="C22" s="59">
        <f>basic!C22</f>
        <v>0</v>
      </c>
      <c r="D22" s="40">
        <f>basic!D22</f>
        <v>0</v>
      </c>
      <c r="E22" s="201" t="s">
        <v>31</v>
      </c>
      <c r="F22" s="60">
        <f>(C22*E$18+D22*(100-E$18))/100</f>
        <v>0</v>
      </c>
      <c r="G22" s="202" t="s">
        <v>35</v>
      </c>
      <c r="H22" s="52">
        <f>F22/8.19</f>
        <v>0</v>
      </c>
      <c r="I22" s="203" t="s">
        <v>151</v>
      </c>
      <c r="J22" s="54"/>
      <c r="M22" s="380"/>
      <c r="N22" s="32"/>
      <c r="O22" s="32"/>
      <c r="P22" s="32"/>
      <c r="Q22" s="32"/>
      <c r="R22" s="32"/>
      <c r="S22" s="32"/>
      <c r="T22" s="32"/>
      <c r="U22" s="32"/>
      <c r="V22" s="32"/>
      <c r="W22" s="32"/>
    </row>
    <row r="23" spans="2:23" ht="12.75">
      <c r="B23" s="200" t="s">
        <v>36</v>
      </c>
      <c r="C23" s="59">
        <f>basic!C23</f>
        <v>0</v>
      </c>
      <c r="D23" s="40">
        <f>basic!D23</f>
        <v>0</v>
      </c>
      <c r="E23" s="201" t="s">
        <v>31</v>
      </c>
      <c r="F23" s="60">
        <f>(C23*E$18+D23*(100-E$18))/100</f>
        <v>0</v>
      </c>
      <c r="G23" s="205" t="str">
        <f>basic!G23</f>
        <v>SO4 mg/l</v>
      </c>
      <c r="H23" s="52">
        <f>IF(G23="SO4-S mg/l",F23*3,F23)/17.1</f>
        <v>0</v>
      </c>
      <c r="I23" s="203" t="s">
        <v>152</v>
      </c>
      <c r="J23" s="54"/>
      <c r="M23" s="380"/>
      <c r="N23" s="32"/>
      <c r="O23" s="32"/>
      <c r="P23" s="32"/>
      <c r="Q23" s="32"/>
      <c r="R23" s="32"/>
      <c r="S23" s="32"/>
      <c r="T23" s="32"/>
      <c r="U23" s="32"/>
      <c r="V23" s="32"/>
      <c r="W23" s="32"/>
    </row>
    <row r="24" spans="2:23" ht="12.75">
      <c r="B24" s="200" t="s">
        <v>39</v>
      </c>
      <c r="C24" s="59">
        <f>basic!C24</f>
        <v>0</v>
      </c>
      <c r="D24" s="40">
        <f>basic!D24</f>
        <v>0</v>
      </c>
      <c r="E24" s="201" t="s">
        <v>31</v>
      </c>
      <c r="F24" s="60">
        <f>(C24*E$18+D24*(100-E$18))/100</f>
        <v>0</v>
      </c>
      <c r="G24" s="202" t="s">
        <v>40</v>
      </c>
      <c r="H24" s="52">
        <f>F24/12.62</f>
        <v>0</v>
      </c>
      <c r="I24" s="203" t="s">
        <v>153</v>
      </c>
      <c r="J24" s="54"/>
      <c r="M24" s="380"/>
      <c r="N24" s="32"/>
      <c r="O24" s="32"/>
      <c r="P24" s="32"/>
      <c r="Q24" s="32"/>
      <c r="R24" s="32"/>
      <c r="S24" s="32"/>
      <c r="T24" s="32"/>
      <c r="U24" s="32"/>
      <c r="V24" s="32"/>
      <c r="W24" s="32"/>
    </row>
    <row r="25" spans="2:23" ht="12.75">
      <c r="B25" s="200" t="s">
        <v>41</v>
      </c>
      <c r="C25" s="59">
        <f>basic!C25</f>
        <v>0</v>
      </c>
      <c r="D25" s="40">
        <f>basic!D25</f>
        <v>0</v>
      </c>
      <c r="E25" s="201" t="s">
        <v>31</v>
      </c>
      <c r="F25" s="60">
        <f>IF(AND(C25=0,D25=0),(C26*E$18+D26*(100-E$18))/100*61/50,(C25*E$18+D25*(100-E$18))/100)</f>
        <v>0</v>
      </c>
      <c r="G25" s="206" t="s">
        <v>42</v>
      </c>
      <c r="H25" s="207"/>
      <c r="I25" s="53"/>
      <c r="J25" s="54"/>
      <c r="M25" s="380"/>
      <c r="N25" s="32"/>
      <c r="O25" s="32"/>
      <c r="P25" s="32"/>
      <c r="Q25" s="32"/>
      <c r="R25" s="32"/>
      <c r="S25" s="32"/>
      <c r="T25" s="32"/>
      <c r="U25" s="32"/>
      <c r="V25" s="32"/>
      <c r="W25" s="32"/>
    </row>
    <row r="26" spans="2:23" ht="12.75">
      <c r="B26" s="200" t="s">
        <v>20</v>
      </c>
      <c r="C26" s="59">
        <f>basic!C26</f>
        <v>0</v>
      </c>
      <c r="D26" s="40">
        <f>basic!D26</f>
        <v>0</v>
      </c>
      <c r="E26" s="201" t="s">
        <v>19</v>
      </c>
      <c r="F26" s="60">
        <f>IF(AND(C26=0,D26=0),(C25*E$18+D25*(100-E$18))/100*50/61,(C26*E$18+D26*(100-E$18))/100)</f>
        <v>0</v>
      </c>
      <c r="G26" s="202" t="s">
        <v>44</v>
      </c>
      <c r="H26" s="52">
        <f>F26/17.81</f>
        <v>0</v>
      </c>
      <c r="I26" s="203" t="s">
        <v>154</v>
      </c>
      <c r="J26" s="54"/>
      <c r="M26" s="380"/>
      <c r="N26" s="32"/>
      <c r="O26" s="32"/>
      <c r="P26" s="32"/>
      <c r="Q26" s="32"/>
      <c r="R26" s="32"/>
      <c r="S26" s="32"/>
      <c r="T26" s="32"/>
      <c r="U26" s="32"/>
      <c r="V26" s="32"/>
      <c r="W26" s="32"/>
    </row>
    <row r="27" spans="2:23" ht="12.75">
      <c r="B27" s="41"/>
      <c r="C27" s="67" t="s">
        <v>45</v>
      </c>
      <c r="D27" s="42"/>
      <c r="E27" s="208">
        <f>H27*17.8</f>
        <v>0</v>
      </c>
      <c r="F27" s="69" t="s">
        <v>21</v>
      </c>
      <c r="G27" s="42"/>
      <c r="H27" s="209">
        <f>H26-H20/3.5-H21/7</f>
        <v>0</v>
      </c>
      <c r="I27" s="210" t="s">
        <v>16</v>
      </c>
      <c r="J27" s="211"/>
      <c r="K27" s="71"/>
      <c r="L27" s="71"/>
      <c r="M27" s="380"/>
      <c r="N27" s="32"/>
      <c r="O27" s="32"/>
      <c r="P27" s="32"/>
      <c r="Q27" s="32"/>
      <c r="R27" s="32"/>
      <c r="S27" s="32"/>
      <c r="T27" s="32"/>
      <c r="U27" s="32"/>
      <c r="V27" s="32"/>
      <c r="W27" s="32"/>
    </row>
    <row r="28" spans="6:13" ht="12.75">
      <c r="F28" s="71"/>
      <c r="H28" s="71"/>
      <c r="I28" s="71"/>
      <c r="J28" s="71"/>
      <c r="K28" s="71"/>
      <c r="L28" s="71"/>
      <c r="M28" s="380"/>
    </row>
    <row r="29" spans="3:13" ht="12.75">
      <c r="C29" s="82"/>
      <c r="D29" s="15" t="s">
        <v>155</v>
      </c>
      <c r="E29" s="212" t="e">
        <f>'detailed calculations'!B19</f>
        <v>#DIV/0!</v>
      </c>
      <c r="F29" s="213" t="s">
        <v>48</v>
      </c>
      <c r="G29" s="82" t="s">
        <v>49</v>
      </c>
      <c r="H29" s="82"/>
      <c r="I29" s="82"/>
      <c r="J29" s="82"/>
      <c r="K29" s="71"/>
      <c r="L29" s="71"/>
      <c r="M29" s="71"/>
    </row>
    <row r="30" spans="3:13" ht="12.75">
      <c r="C30" s="82"/>
      <c r="D30" s="15"/>
      <c r="E30" s="214"/>
      <c r="F30" s="213"/>
      <c r="G30" s="82"/>
      <c r="H30" s="82"/>
      <c r="I30" s="82"/>
      <c r="J30" s="82"/>
      <c r="K30" s="71"/>
      <c r="L30" s="71"/>
      <c r="M30" s="71"/>
    </row>
    <row r="31" spans="2:13" ht="12.75" customHeight="1">
      <c r="B31" s="46"/>
      <c r="C31" s="47" t="s">
        <v>52</v>
      </c>
      <c r="D31" s="215"/>
      <c r="E31" s="50"/>
      <c r="G31" s="28"/>
      <c r="H31" s="47" t="s">
        <v>53</v>
      </c>
      <c r="I31" s="215"/>
      <c r="J31" s="50"/>
      <c r="K31" s="71"/>
      <c r="L31" s="71"/>
      <c r="M31" s="380" t="s">
        <v>51</v>
      </c>
    </row>
    <row r="32" spans="2:13" ht="12.75">
      <c r="B32" s="51" t="s">
        <v>54</v>
      </c>
      <c r="C32" s="197"/>
      <c r="D32" s="40">
        <f>basic!D36</f>
        <v>0</v>
      </c>
      <c r="E32" s="216" t="str">
        <f>D7</f>
        <v>gal</v>
      </c>
      <c r="G32" s="51" t="s">
        <v>156</v>
      </c>
      <c r="H32" s="197"/>
      <c r="I32" s="40">
        <f>basic!I36</f>
        <v>0</v>
      </c>
      <c r="J32" s="216" t="str">
        <f>D6</f>
        <v>lb</v>
      </c>
      <c r="K32" s="71"/>
      <c r="L32" s="71"/>
      <c r="M32" s="380"/>
    </row>
    <row r="33" spans="2:13" ht="12.75">
      <c r="B33" s="51" t="s">
        <v>56</v>
      </c>
      <c r="C33" s="197"/>
      <c r="D33" s="40">
        <f>basic!D37</f>
        <v>0</v>
      </c>
      <c r="E33" s="216" t="str">
        <f>D7</f>
        <v>gal</v>
      </c>
      <c r="G33" s="102" t="s">
        <v>57</v>
      </c>
      <c r="H33" s="217"/>
      <c r="I33" s="106" t="e">
        <f>IF(J33="l/kg",'detailed calculations'!B10,'detailed calculations'!B10/2.11)</f>
        <v>#DIV/0!</v>
      </c>
      <c r="J33" s="218" t="str">
        <f>IF(J32="lb","qt/lb","l/kg")</f>
        <v>qt/lb</v>
      </c>
      <c r="K33" s="71"/>
      <c r="L33" s="71"/>
      <c r="M33" s="380"/>
    </row>
    <row r="34" spans="2:13" ht="12.75">
      <c r="B34" s="102" t="s">
        <v>157</v>
      </c>
      <c r="C34" s="217"/>
      <c r="D34" s="106">
        <f>D32-D33</f>
        <v>0</v>
      </c>
      <c r="E34" s="218" t="str">
        <f>D7</f>
        <v>gal</v>
      </c>
      <c r="K34" s="71"/>
      <c r="L34" s="71"/>
      <c r="M34" s="380"/>
    </row>
    <row r="35" spans="11:13" ht="12.75">
      <c r="K35" s="71"/>
      <c r="L35" s="71"/>
      <c r="M35" s="71"/>
    </row>
    <row r="36" spans="2:13" ht="15.75">
      <c r="B36" s="46"/>
      <c r="C36" s="47" t="s">
        <v>158</v>
      </c>
      <c r="D36" s="49"/>
      <c r="E36" s="49"/>
      <c r="F36" s="49"/>
      <c r="G36" s="49"/>
      <c r="H36" s="49"/>
      <c r="I36" s="49"/>
      <c r="J36" s="50"/>
      <c r="K36" s="71"/>
      <c r="L36" s="71"/>
      <c r="M36" s="380" t="str">
        <f>basic!M37</f>
        <v>This section allows you to enter beer color as SRM and use it to predict the acidity of the grist. Together with the residual alkalinity of the water and acid additions it allows for a crude mash pH prediction. The mash pH prediction uses the mash thickness which means that grist weight and strike water volume need to be specified in the section above. The fields “roasted %” allows you to specify how much of the beer's color is contributed by roasted malts. E.g. if a beer is brewed with 90% 2-row, 7% 60 Lovibond cara malts and 3% 500 Lovibond roasted malts, the roasted malt portion of the color is 3%*500/(7%*60+3%*500)=78% (this neglects the color from the 2-row) . The formula used for this estimation is explained here: http://braukaiser.com/wiki/index.php?title=Beer_color%2C_alkalinity_and_mash_pH
The predicted distilled water mash pH value is that of a room temperature mash sample</v>
      </c>
    </row>
    <row r="37" spans="2:13" ht="12.75">
      <c r="B37" s="51"/>
      <c r="C37" s="1" t="s">
        <v>61</v>
      </c>
      <c r="D37" s="40">
        <f>basic!E41</f>
        <v>0</v>
      </c>
      <c r="E37" s="1" t="s">
        <v>62</v>
      </c>
      <c r="G37" s="65"/>
      <c r="H37" s="65"/>
      <c r="I37" s="65"/>
      <c r="J37" s="54"/>
      <c r="K37" s="71"/>
      <c r="L37" s="71"/>
      <c r="M37" s="380"/>
    </row>
    <row r="38" spans="2:13" ht="12.75">
      <c r="B38" s="51"/>
      <c r="C38" s="36" t="s">
        <v>63</v>
      </c>
      <c r="D38" s="40">
        <f>basic!H41</f>
        <v>0</v>
      </c>
      <c r="E38" s="1" t="s">
        <v>25</v>
      </c>
      <c r="H38" s="15" t="s">
        <v>64</v>
      </c>
      <c r="I38" s="60">
        <f>'detailed calculations'!B174</f>
        <v>5.6</v>
      </c>
      <c r="J38" s="54" t="s">
        <v>48</v>
      </c>
      <c r="K38" s="71"/>
      <c r="L38" s="71"/>
      <c r="M38" s="380"/>
    </row>
    <row r="39" spans="2:13" ht="12.75">
      <c r="B39" s="102"/>
      <c r="C39" s="67"/>
      <c r="D39" s="67"/>
      <c r="E39" s="67"/>
      <c r="F39" s="103"/>
      <c r="G39" s="68"/>
      <c r="H39" s="68"/>
      <c r="I39" s="68"/>
      <c r="J39" s="105"/>
      <c r="K39" s="71"/>
      <c r="L39" s="71"/>
      <c r="M39" s="380"/>
    </row>
    <row r="40" spans="2:13" ht="12.75">
      <c r="B40" s="219"/>
      <c r="C40" s="15"/>
      <c r="F40" s="15"/>
      <c r="G40" s="83"/>
      <c r="H40" s="83"/>
      <c r="I40" s="83"/>
      <c r="K40" s="71"/>
      <c r="L40" s="71"/>
      <c r="M40" s="380"/>
    </row>
    <row r="41" spans="2:13" ht="12.75">
      <c r="B41" s="219"/>
      <c r="C41" s="15"/>
      <c r="F41" s="15"/>
      <c r="G41" s="83"/>
      <c r="H41" s="83"/>
      <c r="I41" s="83"/>
      <c r="K41" s="71"/>
      <c r="L41" s="71"/>
      <c r="M41" s="380"/>
    </row>
    <row r="42" spans="2:13" ht="12.75">
      <c r="B42" s="219"/>
      <c r="C42" s="15"/>
      <c r="F42" s="15"/>
      <c r="G42" s="83"/>
      <c r="H42" s="83"/>
      <c r="I42" s="83"/>
      <c r="K42" s="71"/>
      <c r="L42" s="71"/>
      <c r="M42" s="380"/>
    </row>
    <row r="43" spans="2:13" ht="12.75">
      <c r="B43" s="219"/>
      <c r="C43" s="15"/>
      <c r="F43" s="15"/>
      <c r="G43" s="83"/>
      <c r="H43" s="83"/>
      <c r="I43" s="83"/>
      <c r="K43" s="71"/>
      <c r="L43" s="71"/>
      <c r="M43" s="380"/>
    </row>
    <row r="44" spans="2:13" ht="12.75">
      <c r="B44" s="219"/>
      <c r="C44" s="15"/>
      <c r="F44" s="15"/>
      <c r="G44" s="83"/>
      <c r="H44" s="83"/>
      <c r="I44" s="83"/>
      <c r="K44" s="71"/>
      <c r="L44" s="71"/>
      <c r="M44" s="380"/>
    </row>
    <row r="45" spans="2:13" ht="12.75">
      <c r="B45" s="219"/>
      <c r="C45" s="15"/>
      <c r="F45" s="15"/>
      <c r="G45" s="83"/>
      <c r="H45" s="83"/>
      <c r="I45" s="83"/>
      <c r="K45" s="71"/>
      <c r="L45" s="71"/>
      <c r="M45" s="380"/>
    </row>
    <row r="46" spans="2:13" ht="12.75">
      <c r="B46" s="219"/>
      <c r="C46" s="15"/>
      <c r="F46" s="15"/>
      <c r="G46" s="83"/>
      <c r="H46" s="83"/>
      <c r="I46" s="83"/>
      <c r="K46" s="71"/>
      <c r="L46" s="71"/>
      <c r="M46" s="220"/>
    </row>
    <row r="47" spans="2:23" ht="15" customHeight="1">
      <c r="B47" s="46"/>
      <c r="C47" s="47" t="s">
        <v>159</v>
      </c>
      <c r="D47" s="30"/>
      <c r="E47" s="124"/>
      <c r="F47" s="49"/>
      <c r="G47" s="125" t="s">
        <v>160</v>
      </c>
      <c r="H47" s="388" t="str">
        <f>basic!G50</f>
        <v>mash and sparge</v>
      </c>
      <c r="I47" s="388"/>
      <c r="J47" s="127"/>
      <c r="K47" s="71"/>
      <c r="L47" s="71"/>
      <c r="M47" s="382" t="s">
        <v>161</v>
      </c>
      <c r="N47" s="142"/>
      <c r="O47" s="142"/>
      <c r="P47" s="142"/>
      <c r="Q47" s="142"/>
      <c r="R47" s="142"/>
      <c r="S47" s="142"/>
      <c r="T47" s="142"/>
      <c r="U47" s="142"/>
      <c r="V47" s="142"/>
      <c r="W47" s="142"/>
    </row>
    <row r="48" spans="2:23" ht="33.75">
      <c r="B48" s="129" t="s">
        <v>71</v>
      </c>
      <c r="C48" s="130" t="s">
        <v>72</v>
      </c>
      <c r="D48" s="130" t="s">
        <v>73</v>
      </c>
      <c r="E48" s="130" t="s">
        <v>74</v>
      </c>
      <c r="F48" s="130" t="s">
        <v>75</v>
      </c>
      <c r="G48" s="130" t="s">
        <v>76</v>
      </c>
      <c r="H48" s="130" t="s">
        <v>122</v>
      </c>
      <c r="I48" s="130" t="s">
        <v>162</v>
      </c>
      <c r="J48" s="54"/>
      <c r="M48" s="382"/>
      <c r="N48" s="142"/>
      <c r="O48" s="142"/>
      <c r="P48" s="142"/>
      <c r="Q48" s="142"/>
      <c r="R48" s="142"/>
      <c r="S48" s="142"/>
      <c r="T48" s="142"/>
      <c r="U48" s="142"/>
      <c r="V48" s="142"/>
      <c r="W48" s="142"/>
    </row>
    <row r="49" spans="2:23" ht="22.5">
      <c r="B49" s="129" t="s">
        <v>78</v>
      </c>
      <c r="C49" s="130" t="s">
        <v>79</v>
      </c>
      <c r="D49" s="56" t="s">
        <v>80</v>
      </c>
      <c r="E49" s="130" t="s">
        <v>81</v>
      </c>
      <c r="F49" s="130" t="s">
        <v>82</v>
      </c>
      <c r="G49" s="56" t="s">
        <v>83</v>
      </c>
      <c r="H49" s="56" t="s">
        <v>84</v>
      </c>
      <c r="I49" s="130" t="s">
        <v>163</v>
      </c>
      <c r="J49" s="221" t="s">
        <v>85</v>
      </c>
      <c r="M49" s="382"/>
      <c r="N49" s="142"/>
      <c r="O49" s="142"/>
      <c r="P49" s="142"/>
      <c r="Q49" s="142"/>
      <c r="R49" s="142"/>
      <c r="S49" s="142"/>
      <c r="T49" s="142"/>
      <c r="U49" s="142"/>
      <c r="V49" s="142"/>
      <c r="W49" s="142"/>
    </row>
    <row r="50" spans="2:23" ht="12.75">
      <c r="B50" s="222" t="str">
        <f aca="true" t="shared" si="0" ref="B50:I50">$J$50</f>
        <v>g</v>
      </c>
      <c r="C50" s="223" t="str">
        <f t="shared" si="0"/>
        <v>g</v>
      </c>
      <c r="D50" s="223" t="str">
        <f t="shared" si="0"/>
        <v>g</v>
      </c>
      <c r="E50" s="223" t="str">
        <f t="shared" si="0"/>
        <v>g</v>
      </c>
      <c r="F50" s="223" t="str">
        <f t="shared" si="0"/>
        <v>g</v>
      </c>
      <c r="G50" s="223" t="str">
        <f t="shared" si="0"/>
        <v>g</v>
      </c>
      <c r="H50" s="223" t="str">
        <f t="shared" si="0"/>
        <v>g</v>
      </c>
      <c r="I50" s="223" t="str">
        <f t="shared" si="0"/>
        <v>g</v>
      </c>
      <c r="J50" s="224" t="str">
        <f>basic!I53</f>
        <v>g</v>
      </c>
      <c r="M50" s="382"/>
      <c r="N50" s="142"/>
      <c r="O50" s="142"/>
      <c r="P50" s="142"/>
      <c r="Q50" s="142"/>
      <c r="R50" s="142"/>
      <c r="S50" s="142"/>
      <c r="T50" s="142"/>
      <c r="U50" s="142"/>
      <c r="V50" s="142"/>
      <c r="W50" s="142"/>
    </row>
    <row r="51" spans="2:23" ht="12.75">
      <c r="B51" s="136">
        <f>basic!B54</f>
        <v>0</v>
      </c>
      <c r="C51" s="40">
        <f>basic!C54</f>
        <v>0</v>
      </c>
      <c r="D51" s="40">
        <f>basic!D54</f>
        <v>0</v>
      </c>
      <c r="E51" s="40">
        <f>basic!E54</f>
        <v>0</v>
      </c>
      <c r="F51" s="40">
        <f>basic!F54</f>
        <v>0</v>
      </c>
      <c r="G51" s="40">
        <f>basic!G54</f>
        <v>0</v>
      </c>
      <c r="H51" s="40">
        <f>basic!H54</f>
        <v>0</v>
      </c>
      <c r="I51" s="225"/>
      <c r="J51" s="221"/>
      <c r="M51" s="382"/>
      <c r="N51" s="142"/>
      <c r="O51" s="142"/>
      <c r="P51" s="142"/>
      <c r="Q51" s="142"/>
      <c r="R51" s="142"/>
      <c r="S51" s="142"/>
      <c r="T51" s="142"/>
      <c r="U51" s="142"/>
      <c r="V51" s="142"/>
      <c r="W51" s="142"/>
    </row>
    <row r="52" spans="2:23" ht="12.75">
      <c r="B52" s="226">
        <f>'detailed calculations'!B25*(40.08/172.19)</f>
        <v>0</v>
      </c>
      <c r="C52" s="227"/>
      <c r="D52" s="227"/>
      <c r="E52" s="228">
        <f>'detailed calculations'!B28*(40.08/147.02)</f>
        <v>0</v>
      </c>
      <c r="F52" s="227"/>
      <c r="G52" s="227"/>
      <c r="H52" s="228">
        <f>'detailed calculations'!B31*(40.08/100.09)/2</f>
        <v>0</v>
      </c>
      <c r="I52" s="228">
        <f>'detailed calculations'!B32*(40.08/100.09)</f>
        <v>0</v>
      </c>
      <c r="J52" s="229">
        <f>SUM(B52:I52,F20)</f>
        <v>0</v>
      </c>
      <c r="K52" s="2"/>
      <c r="L52" s="230" t="s">
        <v>164</v>
      </c>
      <c r="M52" s="382"/>
      <c r="N52" s="142"/>
      <c r="O52" s="142"/>
      <c r="P52" s="142"/>
      <c r="Q52" s="142"/>
      <c r="R52" s="142"/>
      <c r="S52" s="142"/>
      <c r="T52" s="142"/>
      <c r="U52" s="142"/>
      <c r="V52" s="142"/>
      <c r="W52" s="142"/>
    </row>
    <row r="53" spans="2:23" ht="12.75">
      <c r="B53" s="231"/>
      <c r="C53" s="228">
        <f>'detailed calculations'!B26*(24.3/246.51)</f>
        <v>0</v>
      </c>
      <c r="D53" s="227"/>
      <c r="E53" s="227"/>
      <c r="F53" s="228">
        <f>'detailed calculations'!B29*(24.3/203.32)</f>
        <v>0</v>
      </c>
      <c r="G53" s="227"/>
      <c r="H53" s="227"/>
      <c r="I53" s="227"/>
      <c r="J53" s="229">
        <f>SUM(B53:I53,F21)</f>
        <v>0</v>
      </c>
      <c r="K53" s="2"/>
      <c r="L53" s="230" t="s">
        <v>165</v>
      </c>
      <c r="M53" s="382"/>
      <c r="N53" s="142"/>
      <c r="O53" s="142"/>
      <c r="P53" s="142"/>
      <c r="Q53" s="142"/>
      <c r="R53" s="142"/>
      <c r="S53" s="142"/>
      <c r="T53" s="142"/>
      <c r="U53" s="142"/>
      <c r="V53" s="142"/>
      <c r="W53" s="142"/>
    </row>
    <row r="54" spans="2:23" ht="12.75">
      <c r="B54" s="231"/>
      <c r="C54" s="227"/>
      <c r="D54" s="228">
        <f>'detailed calculations'!B27*(23/58.44)</f>
        <v>0</v>
      </c>
      <c r="E54" s="227"/>
      <c r="F54" s="227"/>
      <c r="G54" s="228">
        <f>'detailed calculations'!B30*(23/84)</f>
        <v>0</v>
      </c>
      <c r="H54" s="227"/>
      <c r="I54" s="227"/>
      <c r="J54" s="229">
        <f>SUM(B54:I54,F22)</f>
        <v>0</v>
      </c>
      <c r="K54" s="2"/>
      <c r="L54" s="230" t="s">
        <v>166</v>
      </c>
      <c r="M54" s="142"/>
      <c r="N54" s="142"/>
      <c r="O54" s="142"/>
      <c r="P54" s="142"/>
      <c r="Q54" s="142"/>
      <c r="R54" s="142"/>
      <c r="S54" s="142"/>
      <c r="T54" s="142"/>
      <c r="U54" s="142"/>
      <c r="V54" s="142"/>
      <c r="W54" s="142"/>
    </row>
    <row r="55" spans="2:23" ht="12.75">
      <c r="B55" s="226">
        <f>'detailed calculations'!B25*(96.07/172.19)</f>
        <v>0</v>
      </c>
      <c r="C55" s="228">
        <f>'detailed calculations'!B26*(96.07/246.51)</f>
        <v>0</v>
      </c>
      <c r="D55" s="227"/>
      <c r="E55" s="227"/>
      <c r="F55" s="227"/>
      <c r="G55" s="227"/>
      <c r="H55" s="227"/>
      <c r="I55" s="227"/>
      <c r="J55" s="229">
        <f>IF(G23="SO4-S mg/l",F23*3,F23)+SUM(B55:I55)</f>
        <v>0</v>
      </c>
      <c r="K55" s="2"/>
      <c r="L55" s="230" t="s">
        <v>167</v>
      </c>
      <c r="M55" s="142"/>
      <c r="N55" s="142"/>
      <c r="O55" s="142"/>
      <c r="P55" s="142"/>
      <c r="Q55" s="142"/>
      <c r="R55" s="142"/>
      <c r="S55" s="142"/>
      <c r="T55" s="142"/>
      <c r="U55" s="142"/>
      <c r="V55" s="142"/>
      <c r="W55" s="142"/>
    </row>
    <row r="56" spans="2:23" ht="12.75">
      <c r="B56" s="231"/>
      <c r="C56" s="227"/>
      <c r="D56" s="228">
        <f>'detailed calculations'!B27*(35.45/58.44)</f>
        <v>0</v>
      </c>
      <c r="E56" s="228">
        <f>'detailed calculations'!B28*(70.9/147.02)</f>
        <v>0</v>
      </c>
      <c r="F56" s="228">
        <f>'detailed calculations'!B29*(70.9/203.32)</f>
        <v>0</v>
      </c>
      <c r="G56" s="227"/>
      <c r="H56" s="227"/>
      <c r="I56" s="227"/>
      <c r="J56" s="232">
        <f>SUM(B56:I56,F24)</f>
        <v>0</v>
      </c>
      <c r="K56" s="2"/>
      <c r="L56" s="230" t="s">
        <v>168</v>
      </c>
      <c r="M56" s="142"/>
      <c r="N56" s="142"/>
      <c r="O56" s="142"/>
      <c r="P56" s="142"/>
      <c r="Q56" s="142"/>
      <c r="R56" s="142"/>
      <c r="S56" s="142"/>
      <c r="T56" s="142"/>
      <c r="U56" s="142"/>
      <c r="V56" s="142"/>
      <c r="W56" s="142"/>
    </row>
    <row r="57" spans="2:23" ht="12.75">
      <c r="B57" s="231"/>
      <c r="C57" s="227"/>
      <c r="D57" s="227"/>
      <c r="E57" s="227"/>
      <c r="F57" s="227"/>
      <c r="G57" s="228">
        <f>'detailed calculations'!B30*(61/84)</f>
        <v>0</v>
      </c>
      <c r="H57" s="228">
        <f>1*'detailed calculations'!B31*(61/100.09)</f>
        <v>0</v>
      </c>
      <c r="I57" s="228">
        <f>'detailed calculations'!B32*(61/100.09)*2</f>
        <v>0</v>
      </c>
      <c r="J57" s="229">
        <f>SUM(B57:I57,F25)</f>
        <v>0</v>
      </c>
      <c r="K57" s="2"/>
      <c r="L57" s="230" t="s">
        <v>169</v>
      </c>
      <c r="M57" s="142"/>
      <c r="N57" s="142"/>
      <c r="O57" s="142"/>
      <c r="P57" s="142"/>
      <c r="Q57" s="142"/>
      <c r="R57" s="142"/>
      <c r="S57" s="142"/>
      <c r="T57" s="142"/>
      <c r="U57" s="142"/>
      <c r="V57" s="142"/>
      <c r="W57" s="142"/>
    </row>
    <row r="58" spans="2:23" ht="12.75">
      <c r="B58" s="102"/>
      <c r="C58" s="233" t="s">
        <v>170</v>
      </c>
      <c r="D58" s="104" t="e">
        <f>'detailed calculations'!B40</f>
        <v>#DIV/0!</v>
      </c>
      <c r="E58" s="234" t="str">
        <f>IF(AND(J50="g",D32=0,H47=B185),"ERROR: total water volume needed when adding salts in g and mash and sparge is selected",IF(AND(J50="g",D32=0,H47=B186),"ERROR: total water volume needed when adding salts in g and mash only is selected",""))</f>
        <v>ERROR: total water volume needed when adding salts in g and mash and sparge is selected</v>
      </c>
      <c r="F58" s="67"/>
      <c r="G58" s="235"/>
      <c r="H58" s="236"/>
      <c r="I58" s="236"/>
      <c r="J58" s="237"/>
      <c r="M58" s="142"/>
      <c r="N58" s="142"/>
      <c r="O58" s="142"/>
      <c r="P58" s="142"/>
      <c r="Q58" s="142"/>
      <c r="R58" s="142"/>
      <c r="S58" s="142"/>
      <c r="T58" s="142"/>
      <c r="U58" s="142"/>
      <c r="V58" s="142"/>
      <c r="W58" s="142"/>
    </row>
    <row r="59" spans="3:23" ht="12.75">
      <c r="C59" s="151"/>
      <c r="D59" s="146"/>
      <c r="E59" s="238"/>
      <c r="G59" s="239"/>
      <c r="H59" s="227"/>
      <c r="I59" s="227"/>
      <c r="J59" s="240"/>
      <c r="M59" s="142"/>
      <c r="N59" s="142"/>
      <c r="O59" s="142"/>
      <c r="P59" s="142"/>
      <c r="Q59" s="142"/>
      <c r="R59" s="142"/>
      <c r="S59" s="142"/>
      <c r="T59" s="142"/>
      <c r="U59" s="142"/>
      <c r="V59" s="142"/>
      <c r="W59" s="142"/>
    </row>
    <row r="60" spans="3:23" ht="12.75">
      <c r="C60" s="151"/>
      <c r="D60" s="146"/>
      <c r="E60" s="238"/>
      <c r="G60" s="239"/>
      <c r="H60" s="227"/>
      <c r="I60" s="227"/>
      <c r="J60" s="240"/>
      <c r="M60" s="142"/>
      <c r="N60" s="142"/>
      <c r="O60" s="142"/>
      <c r="P60" s="142"/>
      <c r="Q60" s="142"/>
      <c r="R60" s="142"/>
      <c r="S60" s="142"/>
      <c r="T60" s="142"/>
      <c r="U60" s="142"/>
      <c r="V60" s="142"/>
      <c r="W60" s="142"/>
    </row>
    <row r="61" spans="3:23" ht="12.75">
      <c r="C61" s="151"/>
      <c r="D61" s="146"/>
      <c r="E61" s="238"/>
      <c r="G61" s="239"/>
      <c r="H61" s="227"/>
      <c r="I61" s="227"/>
      <c r="J61" s="240"/>
      <c r="M61" s="142"/>
      <c r="N61" s="142"/>
      <c r="O61" s="142"/>
      <c r="P61" s="142"/>
      <c r="Q61" s="142"/>
      <c r="R61" s="142"/>
      <c r="S61" s="142"/>
      <c r="T61" s="142"/>
      <c r="U61" s="142"/>
      <c r="V61" s="142"/>
      <c r="W61" s="142"/>
    </row>
    <row r="62" spans="2:23" ht="18.75" customHeight="1">
      <c r="B62" s="28"/>
      <c r="C62" s="29" t="s">
        <v>171</v>
      </c>
      <c r="D62" s="30"/>
      <c r="E62" s="30"/>
      <c r="F62" s="30"/>
      <c r="G62" s="30"/>
      <c r="H62" s="30"/>
      <c r="I62" s="30"/>
      <c r="J62" s="31"/>
      <c r="M62" s="380" t="s">
        <v>172</v>
      </c>
      <c r="N62" s="142"/>
      <c r="O62" s="142"/>
      <c r="P62" s="142"/>
      <c r="Q62" s="142"/>
      <c r="R62" s="142"/>
      <c r="S62" s="142"/>
      <c r="T62" s="142"/>
      <c r="U62" s="142"/>
      <c r="V62" s="142"/>
      <c r="W62" s="142"/>
    </row>
    <row r="63" spans="2:23" ht="15.75">
      <c r="B63" s="33"/>
      <c r="C63" s="35"/>
      <c r="D63" s="35"/>
      <c r="E63" s="35"/>
      <c r="F63" s="35" t="s">
        <v>173</v>
      </c>
      <c r="G63" s="35"/>
      <c r="H63" s="35"/>
      <c r="I63" s="35"/>
      <c r="J63" s="38"/>
      <c r="M63" s="380"/>
      <c r="N63" s="142"/>
      <c r="O63" s="142"/>
      <c r="P63" s="142"/>
      <c r="Q63" s="142"/>
      <c r="R63" s="142"/>
      <c r="S63" s="142"/>
      <c r="T63" s="142"/>
      <c r="U63" s="142"/>
      <c r="V63" s="142"/>
      <c r="W63" s="142"/>
    </row>
    <row r="64" spans="2:23" ht="12.75">
      <c r="B64" s="33"/>
      <c r="C64" s="35"/>
      <c r="D64" s="36" t="s">
        <v>174</v>
      </c>
      <c r="E64" s="152">
        <v>8</v>
      </c>
      <c r="F64" s="241"/>
      <c r="G64" s="36" t="s">
        <v>175</v>
      </c>
      <c r="H64" s="37">
        <f>'detailed calculations'!B72</f>
        <v>0</v>
      </c>
      <c r="I64" s="35" t="s">
        <v>15</v>
      </c>
      <c r="J64" s="38"/>
      <c r="M64" s="380"/>
      <c r="N64" s="142"/>
      <c r="O64" s="142"/>
      <c r="P64" s="142"/>
      <c r="Q64" s="142"/>
      <c r="R64" s="142"/>
      <c r="S64" s="142"/>
      <c r="T64" s="142"/>
      <c r="U64" s="142"/>
      <c r="V64" s="142"/>
      <c r="W64" s="142"/>
    </row>
    <row r="65" spans="2:23" ht="12.75">
      <c r="B65" s="33"/>
      <c r="C65" s="35"/>
      <c r="D65" s="36" t="s">
        <v>176</v>
      </c>
      <c r="E65" s="152">
        <v>0</v>
      </c>
      <c r="F65" s="242" t="str">
        <f>D7</f>
        <v>gal</v>
      </c>
      <c r="G65" s="35"/>
      <c r="H65" s="35"/>
      <c r="I65" s="35"/>
      <c r="J65" s="38"/>
      <c r="M65" s="380"/>
      <c r="N65" s="142"/>
      <c r="O65" s="142"/>
      <c r="P65" s="142"/>
      <c r="Q65" s="142"/>
      <c r="R65" s="142"/>
      <c r="S65" s="142"/>
      <c r="T65" s="142"/>
      <c r="U65" s="142"/>
      <c r="V65" s="142"/>
      <c r="W65" s="142"/>
    </row>
    <row r="66" spans="2:23" ht="12.75">
      <c r="B66" s="33"/>
      <c r="C66" s="35"/>
      <c r="D66" s="35"/>
      <c r="E66" s="35"/>
      <c r="F66" s="35"/>
      <c r="G66" s="35"/>
      <c r="H66" s="35"/>
      <c r="I66" s="35"/>
      <c r="J66" s="38"/>
      <c r="M66" s="380"/>
      <c r="N66" s="142"/>
      <c r="O66" s="142"/>
      <c r="P66" s="142"/>
      <c r="Q66" s="142"/>
      <c r="R66" s="142"/>
      <c r="S66" s="142"/>
      <c r="T66" s="142"/>
      <c r="U66" s="142"/>
      <c r="V66" s="142"/>
      <c r="W66" s="142"/>
    </row>
    <row r="67" spans="2:23" ht="12.75">
      <c r="B67" s="33"/>
      <c r="C67" s="35"/>
      <c r="D67" s="36" t="s">
        <v>177</v>
      </c>
      <c r="E67" s="152"/>
      <c r="F67" s="242" t="s">
        <v>16</v>
      </c>
      <c r="G67" s="36" t="s">
        <v>178</v>
      </c>
      <c r="H67" s="37">
        <f>'detailed calculations'!B77</f>
        <v>0</v>
      </c>
      <c r="I67" s="35" t="s">
        <v>15</v>
      </c>
      <c r="J67" s="38"/>
      <c r="M67" s="380"/>
      <c r="N67" s="142"/>
      <c r="O67" s="142"/>
      <c r="P67" s="142"/>
      <c r="Q67" s="142"/>
      <c r="R67" s="142"/>
      <c r="S67" s="142"/>
      <c r="T67" s="142"/>
      <c r="U67" s="142"/>
      <c r="V67" s="142"/>
      <c r="W67" s="142"/>
    </row>
    <row r="68" spans="2:23" ht="12.75">
      <c r="B68" s="41"/>
      <c r="C68" s="42"/>
      <c r="D68" s="43" t="s">
        <v>179</v>
      </c>
      <c r="E68" s="243"/>
      <c r="F68" s="244" t="s">
        <v>16</v>
      </c>
      <c r="G68" s="245">
        <f>IF(AND(E65&lt;&gt;0,H67&lt;10),"Calcium deficit, add more Ca salts","")</f>
      </c>
      <c r="H68" s="42"/>
      <c r="I68" s="42"/>
      <c r="J68" s="45"/>
      <c r="M68" s="380"/>
      <c r="N68" s="142"/>
      <c r="O68" s="142"/>
      <c r="P68" s="142"/>
      <c r="Q68" s="142"/>
      <c r="R68" s="142"/>
      <c r="S68" s="142"/>
      <c r="T68" s="142"/>
      <c r="U68" s="142"/>
      <c r="V68" s="142"/>
      <c r="W68" s="142"/>
    </row>
    <row r="69" spans="2:23" ht="12.75">
      <c r="B69" s="35"/>
      <c r="C69" s="35"/>
      <c r="D69" s="36"/>
      <c r="E69" s="246"/>
      <c r="F69" s="247"/>
      <c r="G69" s="248"/>
      <c r="H69" s="35"/>
      <c r="I69" s="35"/>
      <c r="J69" s="35"/>
      <c r="M69" s="380"/>
      <c r="N69" s="142"/>
      <c r="O69" s="142"/>
      <c r="P69" s="142"/>
      <c r="Q69" s="142"/>
      <c r="R69" s="142"/>
      <c r="S69" s="142"/>
      <c r="T69" s="142"/>
      <c r="U69" s="142"/>
      <c r="V69" s="142"/>
      <c r="W69" s="142"/>
    </row>
    <row r="70" spans="5:13" s="2" customFormat="1" ht="15.75">
      <c r="E70" s="249" t="s">
        <v>129</v>
      </c>
      <c r="M70" s="380"/>
    </row>
    <row r="71" spans="2:23" ht="12.75">
      <c r="B71" s="82"/>
      <c r="C71" s="82"/>
      <c r="D71" s="250"/>
      <c r="E71" s="246"/>
      <c r="F71" s="251"/>
      <c r="G71" s="252"/>
      <c r="H71" s="82"/>
      <c r="I71" s="82"/>
      <c r="J71" s="82"/>
      <c r="M71" s="142"/>
      <c r="N71" s="142"/>
      <c r="O71" s="142"/>
      <c r="P71" s="142"/>
      <c r="Q71" s="142"/>
      <c r="R71" s="142"/>
      <c r="S71" s="142"/>
      <c r="T71" s="142"/>
      <c r="U71" s="142"/>
      <c r="V71" s="142"/>
      <c r="W71" s="142"/>
    </row>
    <row r="72" spans="2:23" ht="17.25" customHeight="1">
      <c r="B72" s="253"/>
      <c r="C72" s="254" t="s">
        <v>180</v>
      </c>
      <c r="D72" s="255"/>
      <c r="E72" s="256"/>
      <c r="F72" s="257"/>
      <c r="G72" s="258"/>
      <c r="H72" s="259"/>
      <c r="I72" s="259"/>
      <c r="J72" s="260"/>
      <c r="M72" s="382" t="s">
        <v>181</v>
      </c>
      <c r="N72" s="142"/>
      <c r="O72" s="142"/>
      <c r="P72" s="142"/>
      <c r="Q72" s="142"/>
      <c r="R72" s="142"/>
      <c r="S72" s="142"/>
      <c r="T72" s="142"/>
      <c r="U72" s="142"/>
      <c r="V72" s="142"/>
      <c r="W72" s="142"/>
    </row>
    <row r="73" spans="2:23" ht="15.75">
      <c r="B73" s="261"/>
      <c r="C73" s="262"/>
      <c r="D73" s="250"/>
      <c r="E73" s="246"/>
      <c r="F73" s="251"/>
      <c r="H73" s="389">
        <f>IF('detailed calculations'!B94&lt;10/20,"calcium limited. Add more calcium salts for optimal alkaliniy reduction","")</f>
      </c>
      <c r="I73" s="389"/>
      <c r="J73" s="389"/>
      <c r="M73" s="382"/>
      <c r="N73" s="142"/>
      <c r="O73" s="142"/>
      <c r="P73" s="142"/>
      <c r="Q73" s="142"/>
      <c r="R73" s="142"/>
      <c r="S73" s="142"/>
      <c r="T73" s="142"/>
      <c r="U73" s="142"/>
      <c r="V73" s="142"/>
      <c r="W73" s="142"/>
    </row>
    <row r="74" spans="2:23" ht="12.75" customHeight="1">
      <c r="B74" s="261"/>
      <c r="C74" s="82"/>
      <c r="D74" s="250" t="s">
        <v>182</v>
      </c>
      <c r="E74" s="263">
        <f>IF(F74="dH",'detailed calculations'!B91/0.35,IF(F74="ppm as CaCO3",'detailed calculations'!B91*50,'detailed calculations'!B91))</f>
        <v>0</v>
      </c>
      <c r="F74" s="390" t="s">
        <v>46</v>
      </c>
      <c r="G74" s="390"/>
      <c r="H74" s="389"/>
      <c r="I74" s="389"/>
      <c r="J74" s="389"/>
      <c r="M74" s="382"/>
      <c r="N74" s="142"/>
      <c r="O74" s="142"/>
      <c r="P74" s="142"/>
      <c r="Q74" s="142"/>
      <c r="R74" s="142"/>
      <c r="S74" s="142"/>
      <c r="T74" s="142"/>
      <c r="U74" s="142"/>
      <c r="V74" s="142"/>
      <c r="W74" s="142"/>
    </row>
    <row r="75" spans="2:23" ht="12.75">
      <c r="B75" s="261"/>
      <c r="C75" s="82"/>
      <c r="D75" s="250" t="s">
        <v>183</v>
      </c>
      <c r="E75" s="263">
        <f>'detailed calculations'!B93*20</f>
        <v>0</v>
      </c>
      <c r="F75" s="251" t="s">
        <v>31</v>
      </c>
      <c r="G75" s="264"/>
      <c r="H75" s="389"/>
      <c r="I75" s="389"/>
      <c r="J75" s="389"/>
      <c r="M75" s="382"/>
      <c r="N75" s="142"/>
      <c r="O75" s="142"/>
      <c r="P75" s="142"/>
      <c r="Q75" s="142"/>
      <c r="R75" s="142"/>
      <c r="S75" s="142"/>
      <c r="T75" s="142"/>
      <c r="U75" s="142"/>
      <c r="V75" s="142"/>
      <c r="W75" s="142"/>
    </row>
    <row r="76" spans="2:23" ht="12.75">
      <c r="B76" s="261"/>
      <c r="C76" s="82"/>
      <c r="D76" s="250" t="s">
        <v>184</v>
      </c>
      <c r="E76" s="152"/>
      <c r="F76" s="251" t="str">
        <f>D7</f>
        <v>gal</v>
      </c>
      <c r="G76" s="252"/>
      <c r="H76" s="82"/>
      <c r="I76" s="82"/>
      <c r="J76" s="265"/>
      <c r="M76" s="382"/>
      <c r="N76" s="142"/>
      <c r="O76" s="142"/>
      <c r="P76" s="142"/>
      <c r="Q76" s="142"/>
      <c r="R76" s="142"/>
      <c r="S76" s="142"/>
      <c r="T76" s="142"/>
      <c r="U76" s="142"/>
      <c r="V76" s="142"/>
      <c r="W76" s="142"/>
    </row>
    <row r="77" spans="2:23" ht="12.75">
      <c r="B77" s="261"/>
      <c r="C77" s="82"/>
      <c r="E77" s="266" t="s">
        <v>185</v>
      </c>
      <c r="F77" s="251" t="s">
        <v>186</v>
      </c>
      <c r="G77" s="252"/>
      <c r="H77" s="82"/>
      <c r="I77" s="82"/>
      <c r="J77" s="265"/>
      <c r="M77" s="382"/>
      <c r="N77" s="142"/>
      <c r="O77" s="142"/>
      <c r="P77" s="142"/>
      <c r="Q77" s="142"/>
      <c r="R77" s="142"/>
      <c r="S77" s="142"/>
      <c r="T77" s="142"/>
      <c r="U77" s="142"/>
      <c r="V77" s="142"/>
      <c r="W77" s="142"/>
    </row>
    <row r="78" spans="2:23" ht="12.75">
      <c r="B78" s="267"/>
      <c r="C78" s="190"/>
      <c r="D78" s="188" t="s">
        <v>187</v>
      </c>
      <c r="E78" s="243"/>
      <c r="F78" s="268" t="s">
        <v>16</v>
      </c>
      <c r="G78" s="269"/>
      <c r="H78" s="190"/>
      <c r="I78" s="190"/>
      <c r="J78" s="270"/>
      <c r="M78" s="382"/>
      <c r="N78" s="142"/>
      <c r="O78" s="142"/>
      <c r="P78" s="142"/>
      <c r="Q78" s="142"/>
      <c r="R78" s="142"/>
      <c r="S78" s="142"/>
      <c r="T78" s="142"/>
      <c r="U78" s="142"/>
      <c r="V78" s="142"/>
      <c r="W78" s="142"/>
    </row>
    <row r="79" spans="2:23" ht="12.75">
      <c r="B79" s="82"/>
      <c r="C79" s="82"/>
      <c r="D79" s="250"/>
      <c r="E79" s="246"/>
      <c r="F79" s="251"/>
      <c r="G79" s="252"/>
      <c r="H79" s="82"/>
      <c r="I79" s="82"/>
      <c r="J79" s="82"/>
      <c r="M79" s="382"/>
      <c r="N79" s="142"/>
      <c r="O79" s="142"/>
      <c r="P79" s="142"/>
      <c r="Q79" s="142"/>
      <c r="R79" s="142"/>
      <c r="S79" s="142"/>
      <c r="T79" s="142"/>
      <c r="U79" s="142"/>
      <c r="V79" s="142"/>
      <c r="W79" s="142"/>
    </row>
    <row r="80" spans="2:23" ht="12.75">
      <c r="B80" s="82"/>
      <c r="C80" s="250" t="s">
        <v>155</v>
      </c>
      <c r="D80" s="173" t="e">
        <f>'detailed calculations'!B109</f>
        <v>#DIV/0!</v>
      </c>
      <c r="E80" s="251" t="s">
        <v>48</v>
      </c>
      <c r="F80" s="271" t="s">
        <v>188</v>
      </c>
      <c r="G80" s="82"/>
      <c r="H80" s="82"/>
      <c r="I80" s="82"/>
      <c r="M80" s="382"/>
      <c r="N80" s="142"/>
      <c r="O80" s="142"/>
      <c r="P80" s="142"/>
      <c r="Q80" s="142"/>
      <c r="R80" s="142"/>
      <c r="S80" s="142"/>
      <c r="T80" s="142"/>
      <c r="U80" s="142"/>
      <c r="V80" s="142"/>
      <c r="W80" s="142"/>
    </row>
    <row r="81" spans="3:23" ht="12.75">
      <c r="C81" s="151"/>
      <c r="D81" s="146"/>
      <c r="E81" s="238"/>
      <c r="G81" s="239"/>
      <c r="H81" s="227"/>
      <c r="I81" s="227"/>
      <c r="J81" s="240"/>
      <c r="M81" s="142"/>
      <c r="N81" s="142"/>
      <c r="O81" s="142"/>
      <c r="P81" s="142"/>
      <c r="Q81" s="142"/>
      <c r="R81" s="142"/>
      <c r="S81" s="142"/>
      <c r="T81" s="142"/>
      <c r="U81" s="142"/>
      <c r="V81" s="142"/>
      <c r="W81" s="142"/>
    </row>
    <row r="82" spans="2:23" ht="12.75" customHeight="1">
      <c r="B82" s="143"/>
      <c r="C82" s="144" t="s">
        <v>189</v>
      </c>
      <c r="D82" s="145"/>
      <c r="E82" s="272" t="s">
        <v>190</v>
      </c>
      <c r="F82" s="145"/>
      <c r="G82" s="145"/>
      <c r="H82" s="145"/>
      <c r="I82" s="145"/>
      <c r="J82" s="50"/>
      <c r="M82" s="382" t="s">
        <v>191</v>
      </c>
      <c r="N82" s="32"/>
      <c r="O82" s="32"/>
      <c r="P82" s="32"/>
      <c r="Q82" s="32"/>
      <c r="R82" s="32"/>
      <c r="S82" s="32"/>
      <c r="T82" s="32"/>
      <c r="U82" s="32"/>
      <c r="V82" s="32"/>
      <c r="W82" s="32"/>
    </row>
    <row r="83" spans="2:23" ht="12.75">
      <c r="B83" s="150"/>
      <c r="C83" s="146"/>
      <c r="D83" s="146" t="s">
        <v>88</v>
      </c>
      <c r="E83" s="147" t="s">
        <v>192</v>
      </c>
      <c r="F83" s="146"/>
      <c r="G83" s="146"/>
      <c r="H83" s="146"/>
      <c r="I83" s="146"/>
      <c r="J83" s="54"/>
      <c r="M83" s="382"/>
      <c r="N83" s="32"/>
      <c r="O83" s="32"/>
      <c r="P83" s="32"/>
      <c r="Q83" s="32"/>
      <c r="R83" s="32"/>
      <c r="S83" s="32"/>
      <c r="T83" s="32"/>
      <c r="U83" s="32"/>
      <c r="V83" s="32"/>
      <c r="W83" s="32"/>
    </row>
    <row r="84" spans="2:23" ht="12.75">
      <c r="B84" s="33"/>
      <c r="C84" s="35"/>
      <c r="D84" s="146" t="s">
        <v>25</v>
      </c>
      <c r="E84" s="146"/>
      <c r="F84" s="147" t="s">
        <v>85</v>
      </c>
      <c r="G84" s="146"/>
      <c r="J84" s="54"/>
      <c r="M84" s="382"/>
      <c r="N84" s="32"/>
      <c r="O84" s="32"/>
      <c r="P84" s="32"/>
      <c r="Q84" s="32"/>
      <c r="R84" s="32"/>
      <c r="S84" s="32"/>
      <c r="T84" s="32"/>
      <c r="U84" s="32"/>
      <c r="V84" s="32"/>
      <c r="W84" s="32"/>
    </row>
    <row r="85" spans="2:23" ht="12.75">
      <c r="B85" s="150"/>
      <c r="C85" s="146" t="s">
        <v>90</v>
      </c>
      <c r="D85" s="148">
        <f>basic!D60</f>
        <v>88</v>
      </c>
      <c r="E85" s="148">
        <f>basic!E60</f>
        <v>0</v>
      </c>
      <c r="F85" s="149" t="str">
        <f>basic!F60</f>
        <v>ml</v>
      </c>
      <c r="I85" s="146"/>
      <c r="J85" s="54"/>
      <c r="M85" s="382"/>
      <c r="N85" s="32"/>
      <c r="O85" s="32"/>
      <c r="P85" s="32"/>
      <c r="Q85" s="32"/>
      <c r="R85" s="32"/>
      <c r="S85" s="32"/>
      <c r="T85" s="32"/>
      <c r="U85" s="32"/>
      <c r="V85" s="32"/>
      <c r="W85" s="32"/>
    </row>
    <row r="86" spans="1:23" ht="12.75">
      <c r="A86" s="2"/>
      <c r="B86" s="33"/>
      <c r="C86" s="151" t="s">
        <v>92</v>
      </c>
      <c r="D86" s="152">
        <f>basic!D61</f>
        <v>10</v>
      </c>
      <c r="E86" s="148">
        <f>basic!E61</f>
        <v>0</v>
      </c>
      <c r="F86" s="149" t="str">
        <f>basic!F61</f>
        <v>ml</v>
      </c>
      <c r="G86" s="35"/>
      <c r="H86" s="35"/>
      <c r="I86" s="35"/>
      <c r="J86" s="38"/>
      <c r="M86" s="382"/>
      <c r="N86" s="32"/>
      <c r="O86" s="32"/>
      <c r="P86" s="32"/>
      <c r="Q86" s="32"/>
      <c r="R86" s="32"/>
      <c r="S86" s="32"/>
      <c r="T86" s="32"/>
      <c r="U86" s="32"/>
      <c r="V86" s="32"/>
      <c r="W86" s="32"/>
    </row>
    <row r="87" spans="1:23" ht="12.75">
      <c r="A87" s="2"/>
      <c r="B87" s="41"/>
      <c r="C87" s="154" t="s">
        <v>93</v>
      </c>
      <c r="D87" s="273">
        <f>basic!D62</f>
        <v>3</v>
      </c>
      <c r="E87" s="274">
        <f>basic!E62</f>
        <v>0</v>
      </c>
      <c r="F87" s="275" t="str">
        <f>basic!F62</f>
        <v>g</v>
      </c>
      <c r="G87" s="42"/>
      <c r="H87" s="43" t="s">
        <v>193</v>
      </c>
      <c r="I87" s="276" t="e">
        <f>'detailed calculations'!B129</f>
        <v>#DIV/0!</v>
      </c>
      <c r="J87" s="45" t="s">
        <v>48</v>
      </c>
      <c r="M87" s="32"/>
      <c r="N87" s="32"/>
      <c r="O87" s="32"/>
      <c r="P87" s="32"/>
      <c r="Q87" s="32"/>
      <c r="R87" s="32"/>
      <c r="S87" s="32"/>
      <c r="T87" s="32"/>
      <c r="U87" s="32"/>
      <c r="V87" s="32"/>
      <c r="W87" s="32"/>
    </row>
    <row r="88" spans="1:23" ht="12.75">
      <c r="A88" s="2"/>
      <c r="B88" s="2"/>
      <c r="C88" s="2"/>
      <c r="D88" s="2"/>
      <c r="E88" s="2"/>
      <c r="F88" s="2"/>
      <c r="G88" s="2"/>
      <c r="H88" s="2"/>
      <c r="I88" s="2"/>
      <c r="J88" s="2"/>
      <c r="M88" s="23"/>
      <c r="N88" s="23"/>
      <c r="O88" s="23"/>
      <c r="P88" s="23"/>
      <c r="Q88" s="23"/>
      <c r="R88" s="23"/>
      <c r="S88" s="23"/>
      <c r="T88" s="23"/>
      <c r="U88" s="23"/>
      <c r="V88" s="23"/>
      <c r="W88" s="23"/>
    </row>
    <row r="89" spans="1:23" ht="12.75">
      <c r="A89" s="2"/>
      <c r="B89" s="2"/>
      <c r="E89" s="277" t="s">
        <v>194</v>
      </c>
      <c r="F89" s="212" t="e">
        <f>I87+D80</f>
        <v>#DIV/0!</v>
      </c>
      <c r="G89" s="2" t="s">
        <v>48</v>
      </c>
      <c r="H89" s="2"/>
      <c r="I89" s="2"/>
      <c r="J89" s="2"/>
      <c r="M89" s="23"/>
      <c r="N89" s="23"/>
      <c r="O89" s="23"/>
      <c r="P89" s="23"/>
      <c r="Q89" s="23"/>
      <c r="R89" s="23"/>
      <c r="S89" s="23"/>
      <c r="T89" s="23"/>
      <c r="U89" s="23"/>
      <c r="V89" s="23"/>
      <c r="W89" s="23"/>
    </row>
    <row r="90" spans="1:23" ht="15" customHeight="1">
      <c r="A90" s="2"/>
      <c r="N90" s="32"/>
      <c r="O90" s="32"/>
      <c r="P90" s="32"/>
      <c r="Q90" s="32"/>
      <c r="R90" s="32"/>
      <c r="S90" s="32"/>
      <c r="T90" s="32"/>
      <c r="U90" s="32"/>
      <c r="V90" s="32"/>
      <c r="W90" s="32"/>
    </row>
    <row r="91" spans="1:23" ht="18" customHeight="1">
      <c r="A91" s="2"/>
      <c r="B91" s="143"/>
      <c r="C91" s="47" t="s">
        <v>96</v>
      </c>
      <c r="D91" s="145"/>
      <c r="E91" s="145"/>
      <c r="F91" s="145" t="s">
        <v>97</v>
      </c>
      <c r="G91" s="391" t="str">
        <f>basic!G68</f>
        <v>overall water</v>
      </c>
      <c r="H91" s="391"/>
      <c r="I91" s="145"/>
      <c r="J91" s="50"/>
      <c r="M91" s="380" t="s">
        <v>195</v>
      </c>
      <c r="N91" s="32"/>
      <c r="O91" s="32"/>
      <c r="P91" s="32"/>
      <c r="Q91" s="32"/>
      <c r="R91" s="32"/>
      <c r="S91" s="32"/>
      <c r="T91" s="32"/>
      <c r="U91" s="32"/>
      <c r="V91" s="32"/>
      <c r="W91" s="32"/>
    </row>
    <row r="92" spans="1:23" ht="12.75">
      <c r="A92" s="2"/>
      <c r="B92" s="164" t="s">
        <v>99</v>
      </c>
      <c r="D92" s="165"/>
      <c r="E92" s="165"/>
      <c r="F92" s="165"/>
      <c r="G92" s="165"/>
      <c r="H92" s="165"/>
      <c r="I92" s="165"/>
      <c r="J92" s="54"/>
      <c r="M92" s="380"/>
      <c r="N92" s="32"/>
      <c r="O92" s="32"/>
      <c r="P92" s="32"/>
      <c r="Q92" s="32"/>
      <c r="R92" s="32"/>
      <c r="S92" s="32"/>
      <c r="T92" s="32"/>
      <c r="U92" s="32"/>
      <c r="V92" s="32"/>
      <c r="W92" s="32"/>
    </row>
    <row r="93" spans="1:23" ht="12.75">
      <c r="A93" s="2"/>
      <c r="B93" s="166" t="s">
        <v>100</v>
      </c>
      <c r="C93" s="278">
        <f>IF($G$91=$B$189,'detailed calculations'!B150,'detailed calculations'!B140)</f>
        <v>0</v>
      </c>
      <c r="D93" s="55" t="s">
        <v>32</v>
      </c>
      <c r="E93" s="35"/>
      <c r="F93" s="279">
        <f>C93*0.14</f>
        <v>0</v>
      </c>
      <c r="G93" s="53" t="s">
        <v>149</v>
      </c>
      <c r="H93" s="279">
        <f>C93/20</f>
        <v>0</v>
      </c>
      <c r="I93" s="53" t="s">
        <v>196</v>
      </c>
      <c r="J93" s="38"/>
      <c r="M93" s="380"/>
      <c r="N93" s="32"/>
      <c r="O93" s="32"/>
      <c r="P93" s="32"/>
      <c r="Q93" s="32"/>
      <c r="R93" s="32"/>
      <c r="S93" s="32"/>
      <c r="T93" s="32"/>
      <c r="U93" s="32"/>
      <c r="V93" s="32"/>
      <c r="W93" s="32"/>
    </row>
    <row r="94" spans="1:23" ht="12.75">
      <c r="A94" s="2"/>
      <c r="B94" s="166" t="s">
        <v>104</v>
      </c>
      <c r="C94" s="278">
        <f>IF($G$91=$B$189,'detailed calculations'!B151,'detailed calculations'!B141)</f>
        <v>0</v>
      </c>
      <c r="D94" s="55" t="s">
        <v>33</v>
      </c>
      <c r="E94" s="35"/>
      <c r="F94" s="279">
        <f>C94*0.231</f>
        <v>0</v>
      </c>
      <c r="G94" s="53" t="s">
        <v>150</v>
      </c>
      <c r="H94" s="279">
        <f>C94*2/24.3</f>
        <v>0</v>
      </c>
      <c r="I94" s="53" t="s">
        <v>197</v>
      </c>
      <c r="J94" s="38"/>
      <c r="M94" s="380"/>
      <c r="N94" s="32"/>
      <c r="O94" s="32"/>
      <c r="P94" s="32"/>
      <c r="Q94" s="32"/>
      <c r="R94" s="32"/>
      <c r="S94" s="32"/>
      <c r="T94" s="32"/>
      <c r="U94" s="32"/>
      <c r="V94" s="32"/>
      <c r="W94" s="32"/>
    </row>
    <row r="95" spans="1:23" ht="12.75">
      <c r="A95" s="2"/>
      <c r="B95" s="166" t="s">
        <v>107</v>
      </c>
      <c r="C95" s="278">
        <f>IF($G$91=$B$189,'detailed calculations'!B152,'detailed calculations'!B142)</f>
        <v>0</v>
      </c>
      <c r="D95" s="55" t="s">
        <v>35</v>
      </c>
      <c r="E95" s="35"/>
      <c r="F95" s="279">
        <f>C95/8.19</f>
        <v>0</v>
      </c>
      <c r="G95" s="53" t="s">
        <v>151</v>
      </c>
      <c r="H95" s="57"/>
      <c r="I95" s="53"/>
      <c r="J95" s="38"/>
      <c r="M95" s="32"/>
      <c r="N95" s="32"/>
      <c r="O95" s="32"/>
      <c r="P95" s="32"/>
      <c r="Q95" s="32"/>
      <c r="R95" s="32"/>
      <c r="S95" s="32"/>
      <c r="T95" s="32"/>
      <c r="U95" s="32"/>
      <c r="V95" s="32"/>
      <c r="W95" s="32"/>
    </row>
    <row r="96" spans="1:23" ht="12.75">
      <c r="A96" s="2"/>
      <c r="B96" s="166" t="s">
        <v>111</v>
      </c>
      <c r="C96" s="278">
        <f>IF($G$91=$B$189,'detailed calculations'!B153,'detailed calculations'!B143)</f>
        <v>0</v>
      </c>
      <c r="D96" s="55" t="s">
        <v>37</v>
      </c>
      <c r="E96" s="35"/>
      <c r="F96" s="279">
        <f>C96/17.1</f>
        <v>0</v>
      </c>
      <c r="G96" s="53" t="s">
        <v>152</v>
      </c>
      <c r="H96" s="57"/>
      <c r="I96" s="53"/>
      <c r="J96" s="38"/>
      <c r="M96" s="32"/>
      <c r="N96" s="32"/>
      <c r="O96" s="32"/>
      <c r="P96" s="32"/>
      <c r="Q96" s="32"/>
      <c r="R96" s="32"/>
      <c r="S96" s="32"/>
      <c r="T96" s="32"/>
      <c r="U96" s="32"/>
      <c r="V96" s="32"/>
      <c r="W96" s="32"/>
    </row>
    <row r="97" spans="1:23" ht="12.75">
      <c r="A97" s="2"/>
      <c r="B97" s="166" t="s">
        <v>114</v>
      </c>
      <c r="C97" s="278">
        <f>IF($G$91=$B$189,'detailed calculations'!B154,'detailed calculations'!B144)</f>
        <v>0</v>
      </c>
      <c r="D97" s="55" t="s">
        <v>40</v>
      </c>
      <c r="E97" s="35"/>
      <c r="F97" s="279">
        <f>C97/12.62</f>
        <v>0</v>
      </c>
      <c r="G97" s="53" t="s">
        <v>153</v>
      </c>
      <c r="H97" s="57"/>
      <c r="I97" s="53"/>
      <c r="J97" s="38"/>
      <c r="K97" s="2"/>
      <c r="L97" s="2"/>
      <c r="M97" s="32"/>
      <c r="N97" s="32"/>
      <c r="O97" s="32"/>
      <c r="P97" s="32"/>
      <c r="Q97" s="32"/>
      <c r="R97" s="32"/>
      <c r="S97" s="32"/>
      <c r="T97" s="32"/>
      <c r="U97" s="32"/>
      <c r="V97" s="32"/>
      <c r="W97" s="32"/>
    </row>
    <row r="98" spans="1:23" ht="12.75">
      <c r="A98" s="2"/>
      <c r="B98" s="176"/>
      <c r="C98" s="278">
        <f>IF($G$91=$B$189,'detailed calculations'!B155,'detailed calculations'!B145)</f>
        <v>0</v>
      </c>
      <c r="D98" s="55" t="s">
        <v>42</v>
      </c>
      <c r="E98" s="35"/>
      <c r="F98" s="280"/>
      <c r="G98" s="53"/>
      <c r="H98" s="57"/>
      <c r="I98" s="53"/>
      <c r="J98" s="38"/>
      <c r="K98" s="2"/>
      <c r="L98" s="2"/>
      <c r="M98" s="32"/>
      <c r="N98" s="32"/>
      <c r="O98" s="32"/>
      <c r="P98" s="32"/>
      <c r="Q98" s="32"/>
      <c r="R98" s="32"/>
      <c r="S98" s="32"/>
      <c r="T98" s="32"/>
      <c r="U98" s="32"/>
      <c r="V98" s="32"/>
      <c r="W98" s="32"/>
    </row>
    <row r="99" spans="2:10" ht="12.75">
      <c r="B99" s="176"/>
      <c r="C99" s="278">
        <f>'detailed calculations'!B146</f>
        <v>0</v>
      </c>
      <c r="D99" s="55" t="s">
        <v>198</v>
      </c>
      <c r="E99" s="35"/>
      <c r="F99" s="279">
        <f>H99/0.35</f>
        <v>0</v>
      </c>
      <c r="G99" s="53" t="s">
        <v>154</v>
      </c>
      <c r="H99" s="279">
        <f>C99/50</f>
        <v>0</v>
      </c>
      <c r="I99" s="53" t="s">
        <v>199</v>
      </c>
      <c r="J99" s="38"/>
    </row>
    <row r="100" spans="2:23" ht="15" customHeight="1">
      <c r="B100" s="281" t="s">
        <v>200</v>
      </c>
      <c r="C100" s="282">
        <f>'detailed calculations'!B147</f>
        <v>0</v>
      </c>
      <c r="D100" s="55" t="s">
        <v>198</v>
      </c>
      <c r="E100" s="283" t="s">
        <v>201</v>
      </c>
      <c r="F100" s="284">
        <f>H100/0.35</f>
        <v>0</v>
      </c>
      <c r="G100" s="53" t="s">
        <v>16</v>
      </c>
      <c r="H100" s="279">
        <f>C100/50</f>
        <v>0</v>
      </c>
      <c r="I100" s="53" t="s">
        <v>199</v>
      </c>
      <c r="J100" s="38"/>
      <c r="N100" s="32"/>
      <c r="O100" s="32"/>
      <c r="P100" s="32"/>
      <c r="Q100" s="32"/>
      <c r="R100" s="32"/>
      <c r="S100" s="32"/>
      <c r="T100" s="32"/>
      <c r="U100" s="32"/>
      <c r="V100" s="32"/>
      <c r="W100" s="32"/>
    </row>
    <row r="101" spans="2:23" ht="12.75">
      <c r="B101" s="51"/>
      <c r="J101" s="38"/>
      <c r="M101" s="32"/>
      <c r="N101" s="32"/>
      <c r="O101" s="32"/>
      <c r="P101" s="32"/>
      <c r="Q101" s="32"/>
      <c r="R101" s="32"/>
      <c r="S101" s="32"/>
      <c r="T101" s="32"/>
      <c r="U101" s="32"/>
      <c r="V101" s="32"/>
      <c r="W101" s="32"/>
    </row>
    <row r="102" spans="2:23" ht="12.75">
      <c r="B102" s="285" t="s">
        <v>202</v>
      </c>
      <c r="C102" s="286" t="e">
        <f>F89</f>
        <v>#DIV/0!</v>
      </c>
      <c r="D102" s="16"/>
      <c r="G102" s="287" t="s">
        <v>109</v>
      </c>
      <c r="H102" s="60" t="e">
        <f>I38+C102</f>
        <v>#DIV/0!</v>
      </c>
      <c r="J102" s="54"/>
      <c r="M102" s="32"/>
      <c r="N102" s="32"/>
      <c r="O102" s="32"/>
      <c r="P102" s="32"/>
      <c r="Q102" s="32"/>
      <c r="R102" s="32"/>
      <c r="S102" s="32"/>
      <c r="T102" s="32"/>
      <c r="U102" s="32"/>
      <c r="V102" s="32"/>
      <c r="W102" s="32"/>
    </row>
    <row r="103" spans="2:23" ht="12.75">
      <c r="B103" s="102"/>
      <c r="C103" s="67"/>
      <c r="D103" s="67"/>
      <c r="E103" s="67"/>
      <c r="F103" s="67"/>
      <c r="G103" s="67"/>
      <c r="H103" s="67"/>
      <c r="I103" s="67"/>
      <c r="J103" s="105"/>
      <c r="M103" s="32"/>
      <c r="N103" s="32"/>
      <c r="O103" s="32"/>
      <c r="P103" s="32"/>
      <c r="Q103" s="32"/>
      <c r="R103" s="32"/>
      <c r="S103" s="32"/>
      <c r="T103" s="32"/>
      <c r="U103" s="32"/>
      <c r="V103" s="32"/>
      <c r="W103" s="32"/>
    </row>
    <row r="105" spans="2:23" ht="15" customHeight="1">
      <c r="B105" s="46"/>
      <c r="C105" s="47" t="s">
        <v>203</v>
      </c>
      <c r="D105" s="49"/>
      <c r="E105" s="49"/>
      <c r="F105" s="49"/>
      <c r="G105" s="49"/>
      <c r="H105" s="49"/>
      <c r="I105" s="49"/>
      <c r="J105" s="50"/>
      <c r="M105" s="380" t="s">
        <v>204</v>
      </c>
      <c r="N105" s="32"/>
      <c r="O105" s="32"/>
      <c r="P105" s="32"/>
      <c r="Q105" s="32"/>
      <c r="R105" s="32"/>
      <c r="S105" s="32"/>
      <c r="T105" s="32"/>
      <c r="U105" s="32"/>
      <c r="V105" s="32"/>
      <c r="W105" s="32"/>
    </row>
    <row r="106" spans="2:23" ht="33.75">
      <c r="B106" s="129" t="s">
        <v>71</v>
      </c>
      <c r="C106" s="130" t="s">
        <v>72</v>
      </c>
      <c r="D106" s="130" t="s">
        <v>73</v>
      </c>
      <c r="E106" s="130" t="s">
        <v>74</v>
      </c>
      <c r="F106" s="130" t="s">
        <v>75</v>
      </c>
      <c r="G106" s="130" t="s">
        <v>76</v>
      </c>
      <c r="H106" s="130" t="s">
        <v>122</v>
      </c>
      <c r="I106" s="130" t="s">
        <v>162</v>
      </c>
      <c r="J106" s="54" t="s">
        <v>85</v>
      </c>
      <c r="M106" s="380"/>
      <c r="N106" s="32"/>
      <c r="O106" s="32"/>
      <c r="P106" s="32"/>
      <c r="Q106" s="32"/>
      <c r="R106" s="32"/>
      <c r="S106" s="32"/>
      <c r="T106" s="32"/>
      <c r="U106" s="32"/>
      <c r="V106" s="32"/>
      <c r="W106" s="32"/>
    </row>
    <row r="107" spans="2:23" ht="12.75">
      <c r="B107" s="288" t="str">
        <f aca="true" t="shared" si="1" ref="B107:I107">$J$107</f>
        <v>g</v>
      </c>
      <c r="C107" s="289" t="str">
        <f t="shared" si="1"/>
        <v>g</v>
      </c>
      <c r="D107" s="289" t="str">
        <f t="shared" si="1"/>
        <v>g</v>
      </c>
      <c r="E107" s="289" t="str">
        <f t="shared" si="1"/>
        <v>g</v>
      </c>
      <c r="F107" s="289" t="str">
        <f t="shared" si="1"/>
        <v>g</v>
      </c>
      <c r="G107" s="289" t="str">
        <f t="shared" si="1"/>
        <v>g</v>
      </c>
      <c r="H107" s="289" t="str">
        <f t="shared" si="1"/>
        <v>g</v>
      </c>
      <c r="I107" s="289" t="str">
        <f t="shared" si="1"/>
        <v>g</v>
      </c>
      <c r="J107" s="290" t="str">
        <f>basic!I84</f>
        <v>g</v>
      </c>
      <c r="M107" s="380"/>
      <c r="N107" s="32"/>
      <c r="O107" s="32"/>
      <c r="P107" s="32"/>
      <c r="Q107" s="32"/>
      <c r="R107" s="32"/>
      <c r="S107" s="32"/>
      <c r="T107" s="32"/>
      <c r="U107" s="32"/>
      <c r="V107" s="32"/>
      <c r="W107" s="32"/>
    </row>
    <row r="108" spans="2:23" ht="12.75">
      <c r="B108" s="181">
        <f>IF($H$47=$B$186,B$110,'detailed calculations'!$B6*advanced!B$110)</f>
        <v>0</v>
      </c>
      <c r="C108" s="182">
        <f>IF($H$47=$B$186,C$110,'detailed calculations'!$B6*advanced!C$110)</f>
        <v>0</v>
      </c>
      <c r="D108" s="182">
        <f>IF($H$47=$B$186,D$110,'detailed calculations'!$B6*advanced!D$110)</f>
        <v>0</v>
      </c>
      <c r="E108" s="182">
        <f>IF($H$47=$B$186,E$110,'detailed calculations'!$B6*advanced!E$110)</f>
        <v>0</v>
      </c>
      <c r="F108" s="182">
        <f>IF($H$47=$B$186,F$110,'detailed calculations'!$B6*advanced!F$110)</f>
        <v>0</v>
      </c>
      <c r="G108" s="182">
        <f>IF($H$47=$B$186,G$110,'detailed calculations'!$B6*advanced!G$110)</f>
        <v>0</v>
      </c>
      <c r="H108" s="182">
        <f>IF($H$47=$B$186,H$110,'detailed calculations'!$B6*advanced!H$110)</f>
        <v>0</v>
      </c>
      <c r="I108" s="182">
        <f>IF($H$47=$B$186,I$110,'detailed calculations'!$B6*advanced!I$110)</f>
        <v>0</v>
      </c>
      <c r="J108" s="54" t="s">
        <v>123</v>
      </c>
      <c r="M108" s="380"/>
      <c r="N108" s="32"/>
      <c r="O108" s="32"/>
      <c r="P108" s="32"/>
      <c r="Q108" s="32"/>
      <c r="R108" s="32"/>
      <c r="S108" s="32"/>
      <c r="T108" s="32"/>
      <c r="U108" s="32"/>
      <c r="V108" s="32"/>
      <c r="W108" s="32"/>
    </row>
    <row r="109" spans="2:23" ht="12.75">
      <c r="B109" s="181">
        <f>IF($H$47=$B$186,0,'detailed calculations'!$B7*advanced!B$110)</f>
        <v>0</v>
      </c>
      <c r="C109" s="182">
        <f>IF($H$47=$B$186,0,'detailed calculations'!$B7*advanced!C$110)</f>
        <v>0</v>
      </c>
      <c r="D109" s="182">
        <f>IF($H$47=$B$186,0,'detailed calculations'!$B7*advanced!D$110)</f>
        <v>0</v>
      </c>
      <c r="E109" s="182">
        <f>IF($H$47=$B$186,0,'detailed calculations'!$B7*advanced!E$110)</f>
        <v>0</v>
      </c>
      <c r="F109" s="182">
        <f>IF($H$47=$B$186,0,'detailed calculations'!$B7*advanced!F$110)</f>
        <v>0</v>
      </c>
      <c r="G109" s="182">
        <f>IF($H$47=$B$186,0,'detailed calculations'!$B7*advanced!G$110)</f>
        <v>0</v>
      </c>
      <c r="H109" s="182">
        <f>IF($H$47=$B$186,0,'detailed calculations'!$B7*advanced!H$110)</f>
        <v>0</v>
      </c>
      <c r="I109" s="182">
        <f>IF($H$47=$B$186,0,'detailed calculations'!$B7*advanced!I$110)</f>
        <v>0</v>
      </c>
      <c r="J109" s="54" t="s">
        <v>124</v>
      </c>
      <c r="M109" s="380"/>
      <c r="N109" s="32"/>
      <c r="O109" s="32"/>
      <c r="P109" s="32"/>
      <c r="Q109" s="32"/>
      <c r="R109" s="32"/>
      <c r="S109" s="32"/>
      <c r="T109" s="32"/>
      <c r="U109" s="32"/>
      <c r="V109" s="32"/>
      <c r="W109" s="32"/>
    </row>
    <row r="110" spans="2:23" ht="12.75">
      <c r="B110" s="183">
        <f>IF(B107="g",'detailed calculations'!B25*'detailed calculations'!$B$24/1000,'detailed calculations'!B25*'detailed calculations'!$B$24/1000/constants!B17)</f>
        <v>0</v>
      </c>
      <c r="C110" s="104">
        <f>IF(C107="g",'detailed calculations'!B26*'detailed calculations'!$B$24/1000,'detailed calculations'!B26*'detailed calculations'!$B$24/1000/constants!B18)</f>
        <v>0</v>
      </c>
      <c r="D110" s="104">
        <f>IF(D107="g",'detailed calculations'!B27*'detailed calculations'!$B$24/1000,'detailed calculations'!B27*'detailed calculations'!$B$24/1000/constants!B19)</f>
        <v>0</v>
      </c>
      <c r="E110" s="104">
        <f>IF(E107="g",'detailed calculations'!B28*'detailed calculations'!$B$24/1000,'detailed calculations'!B28*'detailed calculations'!$B$24/1000/constants!B20)</f>
        <v>0</v>
      </c>
      <c r="F110" s="104">
        <f>IF(F107="g",IF('detailed calculations'!$B$3=0,0,'detailed calculations'!B29*'detailed calculations'!$B$24/1000),"-")</f>
        <v>0</v>
      </c>
      <c r="G110" s="104">
        <f>IF(G107="g",'detailed calculations'!B30*'detailed calculations'!$B$24/1000,'detailed calculations'!B30*'detailed calculations'!$B$24/1000/constants!B21)</f>
        <v>0</v>
      </c>
      <c r="H110" s="104">
        <f>IF(H107="g",'detailed calculations'!B31*'detailed calculations'!$B$24/1000,'detailed calculations'!B31*'detailed calculations'!$B$24/1000/constants!B22)</f>
        <v>0</v>
      </c>
      <c r="I110" s="104">
        <f>IF(I107="g",'detailed calculations'!B32*'detailed calculations'!$B$24/1000,'detailed calculations'!B32*'detailed calculations'!$B$24/1000/constants!B22)</f>
        <v>0</v>
      </c>
      <c r="J110" s="105" t="s">
        <v>125</v>
      </c>
      <c r="M110" s="380"/>
      <c r="N110" s="32"/>
      <c r="O110" s="32"/>
      <c r="P110" s="32"/>
      <c r="Q110" s="32"/>
      <c r="R110" s="32"/>
      <c r="S110" s="32"/>
      <c r="T110" s="32"/>
      <c r="U110" s="32"/>
      <c r="V110" s="32"/>
      <c r="W110" s="32"/>
    </row>
    <row r="111" spans="2:10" ht="12.75">
      <c r="B111" s="2"/>
      <c r="C111" s="2"/>
      <c r="D111" s="2"/>
      <c r="E111" s="2"/>
      <c r="F111" s="2"/>
      <c r="G111" s="2"/>
      <c r="H111" s="2"/>
      <c r="I111" s="2"/>
      <c r="J111" s="2"/>
    </row>
    <row r="112" spans="2:23" ht="15" customHeight="1">
      <c r="B112" s="28"/>
      <c r="C112" s="29" t="s">
        <v>126</v>
      </c>
      <c r="D112" s="30"/>
      <c r="E112" s="30"/>
      <c r="F112" s="30"/>
      <c r="G112" s="30"/>
      <c r="H112" s="30"/>
      <c r="I112" s="30"/>
      <c r="J112" s="31"/>
      <c r="M112" s="380" t="s">
        <v>205</v>
      </c>
      <c r="N112" s="32"/>
      <c r="O112" s="32"/>
      <c r="P112" s="32"/>
      <c r="Q112" s="32"/>
      <c r="R112" s="32"/>
      <c r="S112" s="32"/>
      <c r="T112" s="32"/>
      <c r="U112" s="32"/>
      <c r="V112" s="32"/>
      <c r="W112" s="32"/>
    </row>
    <row r="113" spans="2:23" ht="12.75">
      <c r="B113" s="33"/>
      <c r="C113" s="82" t="s">
        <v>206</v>
      </c>
      <c r="D113" s="82"/>
      <c r="F113" s="35"/>
      <c r="H113" s="82"/>
      <c r="I113" s="35"/>
      <c r="J113" s="38"/>
      <c r="M113" s="380"/>
      <c r="N113" s="32"/>
      <c r="O113" s="32"/>
      <c r="P113" s="32"/>
      <c r="Q113" s="32"/>
      <c r="R113" s="32"/>
      <c r="S113" s="32"/>
      <c r="T113" s="32"/>
      <c r="U113" s="32"/>
      <c r="V113" s="32"/>
      <c r="W113" s="32"/>
    </row>
    <row r="114" spans="2:23" ht="12.75">
      <c r="B114" s="33"/>
      <c r="C114" s="15" t="str">
        <f>CONCATENATE("lactic acid (",D85," %)")</f>
        <v>lactic acid (88 %)</v>
      </c>
      <c r="D114" s="185">
        <f>'detailed calculations'!B182</f>
        <v>0</v>
      </c>
      <c r="E114" s="186" t="s">
        <v>91</v>
      </c>
      <c r="F114" s="165" t="s">
        <v>129</v>
      </c>
      <c r="G114" s="165"/>
      <c r="H114" s="36" t="str">
        <f>CONCATENATE("posphoric acid (",D86,"%)")</f>
        <v>posphoric acid (10%)</v>
      </c>
      <c r="I114" s="185">
        <f>'detailed calculations'!B183</f>
        <v>0</v>
      </c>
      <c r="J114" s="38" t="s">
        <v>91</v>
      </c>
      <c r="M114" s="380"/>
      <c r="N114" s="32"/>
      <c r="O114" s="32"/>
      <c r="P114" s="32"/>
      <c r="Q114" s="32"/>
      <c r="R114" s="32"/>
      <c r="S114" s="32"/>
      <c r="T114" s="32"/>
      <c r="U114" s="32"/>
      <c r="V114" s="32"/>
      <c r="W114" s="32"/>
    </row>
    <row r="115" spans="2:23" ht="12.75">
      <c r="B115" s="41"/>
      <c r="C115" s="188"/>
      <c r="D115" s="190"/>
      <c r="E115" s="190"/>
      <c r="F115" s="67"/>
      <c r="G115" s="67"/>
      <c r="H115" s="67"/>
      <c r="I115" s="67"/>
      <c r="J115" s="45"/>
      <c r="M115" s="380"/>
      <c r="N115" s="32"/>
      <c r="O115" s="32"/>
      <c r="P115" s="32"/>
      <c r="Q115" s="32"/>
      <c r="R115" s="32"/>
      <c r="S115" s="32"/>
      <c r="T115" s="32"/>
      <c r="U115" s="32"/>
      <c r="V115" s="32"/>
      <c r="W115" s="32"/>
    </row>
    <row r="116" spans="2:10" ht="12.75">
      <c r="B116" s="2"/>
      <c r="C116" s="36"/>
      <c r="D116" s="291"/>
      <c r="E116" s="35"/>
      <c r="F116" s="2"/>
      <c r="G116" s="2"/>
      <c r="H116" s="2"/>
      <c r="I116" s="2"/>
      <c r="J116" s="2"/>
    </row>
    <row r="117" spans="2:23" ht="15" customHeight="1">
      <c r="B117" s="46"/>
      <c r="C117" s="47" t="s">
        <v>207</v>
      </c>
      <c r="D117" s="49"/>
      <c r="E117" s="49"/>
      <c r="F117" s="49"/>
      <c r="G117" s="49"/>
      <c r="H117" s="49"/>
      <c r="I117" s="49"/>
      <c r="J117" s="50"/>
      <c r="M117" s="380" t="s">
        <v>208</v>
      </c>
      <c r="N117" s="32"/>
      <c r="O117" s="32"/>
      <c r="P117" s="32"/>
      <c r="Q117" s="32"/>
      <c r="R117" s="32"/>
      <c r="S117" s="32"/>
      <c r="T117" s="32"/>
      <c r="U117" s="32"/>
      <c r="V117" s="32"/>
      <c r="W117" s="32"/>
    </row>
    <row r="118" spans="2:23" ht="22.5">
      <c r="B118" s="129" t="s">
        <v>71</v>
      </c>
      <c r="C118" s="130" t="s">
        <v>72</v>
      </c>
      <c r="D118" s="130" t="s">
        <v>73</v>
      </c>
      <c r="E118" s="130" t="s">
        <v>74</v>
      </c>
      <c r="F118" s="130" t="s">
        <v>75</v>
      </c>
      <c r="G118" s="35"/>
      <c r="H118" s="35"/>
      <c r="I118" s="34" t="s">
        <v>209</v>
      </c>
      <c r="J118" s="54"/>
      <c r="M118" s="380"/>
      <c r="N118" s="32"/>
      <c r="O118" s="32"/>
      <c r="P118" s="32"/>
      <c r="Q118" s="32"/>
      <c r="R118" s="32"/>
      <c r="S118" s="32"/>
      <c r="T118" s="32"/>
      <c r="U118" s="32"/>
      <c r="V118" s="32"/>
      <c r="W118" s="32"/>
    </row>
    <row r="119" spans="2:23" ht="12.75">
      <c r="B119" s="134" t="s">
        <v>86</v>
      </c>
      <c r="C119" s="135" t="s">
        <v>86</v>
      </c>
      <c r="D119" s="135" t="s">
        <v>86</v>
      </c>
      <c r="E119" s="135" t="s">
        <v>86</v>
      </c>
      <c r="F119" s="135" t="s">
        <v>86</v>
      </c>
      <c r="G119" s="35"/>
      <c r="H119" s="35"/>
      <c r="I119" s="35"/>
      <c r="J119" s="54"/>
      <c r="M119" s="380"/>
      <c r="N119" s="32"/>
      <c r="O119" s="32"/>
      <c r="P119" s="32"/>
      <c r="Q119" s="32"/>
      <c r="R119" s="32"/>
      <c r="S119" s="32"/>
      <c r="T119" s="32"/>
      <c r="U119" s="32"/>
      <c r="V119" s="32"/>
      <c r="W119" s="32"/>
    </row>
    <row r="120" spans="2:23" ht="12.75">
      <c r="B120" s="181">
        <f>B51*'detailed calculations'!$B$57/1000</f>
        <v>0</v>
      </c>
      <c r="C120" s="182">
        <f>C51*'detailed calculations'!$B$57/1000</f>
        <v>0</v>
      </c>
      <c r="D120" s="182">
        <f>D51*'detailed calculations'!$B$57/1000</f>
        <v>0</v>
      </c>
      <c r="E120" s="182">
        <f>E51*'detailed calculations'!$B$57/1000</f>
        <v>0</v>
      </c>
      <c r="F120" s="182">
        <f>F51*'detailed calculations'!$B$57/1000</f>
        <v>0</v>
      </c>
      <c r="G120" s="35"/>
      <c r="H120" s="36" t="s">
        <v>209</v>
      </c>
      <c r="I120" s="175">
        <f>'detailed calculations'!B74</f>
        <v>0</v>
      </c>
      <c r="J120" s="54" t="s">
        <v>86</v>
      </c>
      <c r="M120" s="380"/>
      <c r="N120" s="32"/>
      <c r="O120" s="32"/>
      <c r="P120" s="32"/>
      <c r="Q120" s="32"/>
      <c r="R120" s="32"/>
      <c r="S120" s="32"/>
      <c r="T120" s="32"/>
      <c r="U120" s="32"/>
      <c r="V120" s="32"/>
      <c r="W120" s="32"/>
    </row>
    <row r="121" spans="2:23" ht="12.75">
      <c r="B121" s="41"/>
      <c r="C121" s="42"/>
      <c r="D121" s="42"/>
      <c r="E121" s="42"/>
      <c r="F121" s="42"/>
      <c r="G121" s="42"/>
      <c r="H121" s="43" t="s">
        <v>210</v>
      </c>
      <c r="I121" s="292">
        <f>I120/0.05</f>
        <v>0</v>
      </c>
      <c r="J121" s="293" t="s">
        <v>86</v>
      </c>
      <c r="M121" s="380"/>
      <c r="N121" s="32"/>
      <c r="O121" s="32"/>
      <c r="P121" s="32"/>
      <c r="Q121" s="32"/>
      <c r="R121" s="32"/>
      <c r="S121" s="32"/>
      <c r="T121" s="32"/>
      <c r="U121" s="32"/>
      <c r="V121" s="32"/>
      <c r="W121" s="32"/>
    </row>
    <row r="122" spans="2:10" ht="12.75">
      <c r="B122" s="2"/>
      <c r="C122" s="2"/>
      <c r="D122" s="2"/>
      <c r="E122" s="2"/>
      <c r="F122" s="2"/>
      <c r="G122" s="2"/>
      <c r="H122" s="2"/>
      <c r="I122" s="2"/>
      <c r="J122" s="2"/>
    </row>
    <row r="123" spans="2:23" ht="15" customHeight="1">
      <c r="B123" s="28"/>
      <c r="C123" s="30"/>
      <c r="D123" s="29" t="s">
        <v>211</v>
      </c>
      <c r="E123" s="30"/>
      <c r="F123" s="30"/>
      <c r="G123" s="30"/>
      <c r="H123" s="30"/>
      <c r="I123" s="30"/>
      <c r="J123" s="31"/>
      <c r="M123" s="380" t="s">
        <v>212</v>
      </c>
      <c r="N123" s="32"/>
      <c r="O123" s="32"/>
      <c r="P123" s="32"/>
      <c r="Q123" s="32"/>
      <c r="R123" s="32"/>
      <c r="S123" s="32"/>
      <c r="T123" s="32"/>
      <c r="U123" s="32"/>
      <c r="V123" s="32"/>
      <c r="W123" s="32"/>
    </row>
    <row r="124" spans="2:23" ht="12.75">
      <c r="B124" s="33"/>
      <c r="C124" s="2"/>
      <c r="D124" s="294" t="s">
        <v>213</v>
      </c>
      <c r="E124" s="294" t="s">
        <v>214</v>
      </c>
      <c r="F124" s="295" t="s">
        <v>215</v>
      </c>
      <c r="G124" s="294"/>
      <c r="H124" s="2"/>
      <c r="I124" s="2"/>
      <c r="J124" s="38"/>
      <c r="M124" s="380"/>
      <c r="N124" s="32"/>
      <c r="O124" s="32"/>
      <c r="P124" s="32"/>
      <c r="Q124" s="32"/>
      <c r="R124" s="32"/>
      <c r="S124" s="32"/>
      <c r="T124" s="32"/>
      <c r="U124" s="32"/>
      <c r="V124" s="32"/>
      <c r="W124" s="32"/>
    </row>
    <row r="125" spans="2:23" ht="12.75">
      <c r="B125" s="33"/>
      <c r="C125" s="2"/>
      <c r="D125" s="296" t="str">
        <f>D7</f>
        <v>gal</v>
      </c>
      <c r="E125" s="296" t="s">
        <v>15</v>
      </c>
      <c r="F125" s="296" t="s">
        <v>216</v>
      </c>
      <c r="G125" s="296" t="s">
        <v>217</v>
      </c>
      <c r="H125" s="2"/>
      <c r="I125" s="2"/>
      <c r="J125" s="38"/>
      <c r="M125" s="380"/>
      <c r="N125" s="32"/>
      <c r="O125" s="32"/>
      <c r="P125" s="32"/>
      <c r="Q125" s="32"/>
      <c r="R125" s="32"/>
      <c r="S125" s="32"/>
      <c r="T125" s="32"/>
      <c r="U125" s="32"/>
      <c r="V125" s="32"/>
      <c r="W125" s="32"/>
    </row>
    <row r="126" spans="2:23" ht="12.75">
      <c r="B126" s="33"/>
      <c r="C126" s="297" t="s">
        <v>123</v>
      </c>
      <c r="D126" s="152"/>
      <c r="E126" s="175" t="e">
        <f>I108/D126*1000</f>
        <v>#DIV/0!</v>
      </c>
      <c r="F126" s="175" t="e">
        <f>0.00000000087*POWER(E126,3.24)</f>
        <v>#DIV/0!</v>
      </c>
      <c r="G126" s="175" t="e">
        <f>F126*14.5</f>
        <v>#DIV/0!</v>
      </c>
      <c r="H126" s="2"/>
      <c r="I126" s="2"/>
      <c r="J126" s="38"/>
      <c r="M126" s="380"/>
      <c r="N126" s="32"/>
      <c r="O126" s="32"/>
      <c r="P126" s="32"/>
      <c r="Q126" s="32"/>
      <c r="R126" s="32"/>
      <c r="S126" s="32"/>
      <c r="T126" s="32"/>
      <c r="U126" s="32"/>
      <c r="V126" s="32"/>
      <c r="W126" s="32"/>
    </row>
    <row r="127" spans="2:23" ht="12.75">
      <c r="B127" s="33"/>
      <c r="C127" s="297" t="s">
        <v>124</v>
      </c>
      <c r="D127" s="152"/>
      <c r="E127" s="175" t="e">
        <f>I109/D127*1000</f>
        <v>#DIV/0!</v>
      </c>
      <c r="F127" s="175" t="e">
        <f>0.00000000087*POWER(E127,3.24)</f>
        <v>#DIV/0!</v>
      </c>
      <c r="G127" s="175" t="e">
        <f>F127*14.5</f>
        <v>#DIV/0!</v>
      </c>
      <c r="H127" s="2"/>
      <c r="I127" s="2"/>
      <c r="J127" s="38"/>
      <c r="M127" s="380"/>
      <c r="N127" s="32"/>
      <c r="O127" s="32"/>
      <c r="P127" s="32"/>
      <c r="Q127" s="32"/>
      <c r="R127" s="32"/>
      <c r="S127" s="32"/>
      <c r="T127" s="32"/>
      <c r="U127" s="32"/>
      <c r="V127" s="32"/>
      <c r="W127" s="32"/>
    </row>
    <row r="128" spans="2:23" ht="12.75">
      <c r="B128" s="41"/>
      <c r="C128" s="298" t="s">
        <v>125</v>
      </c>
      <c r="D128" s="243"/>
      <c r="E128" s="292" t="e">
        <f>I110/D128*1000</f>
        <v>#DIV/0!</v>
      </c>
      <c r="F128" s="292" t="e">
        <f>0.00000000087*POWER(E128,3.24)</f>
        <v>#DIV/0!</v>
      </c>
      <c r="G128" s="292" t="e">
        <f>F128*14.5</f>
        <v>#DIV/0!</v>
      </c>
      <c r="H128" s="42"/>
      <c r="I128" s="42"/>
      <c r="J128" s="45"/>
      <c r="M128" s="380"/>
      <c r="N128" s="32"/>
      <c r="O128" s="32"/>
      <c r="P128" s="32"/>
      <c r="Q128" s="32"/>
      <c r="R128" s="32"/>
      <c r="S128" s="32"/>
      <c r="T128" s="32"/>
      <c r="U128" s="32"/>
      <c r="V128" s="32"/>
      <c r="W128" s="32"/>
    </row>
    <row r="129" spans="2:23" ht="12.75">
      <c r="B129" s="2"/>
      <c r="C129" s="2"/>
      <c r="D129" s="2"/>
      <c r="E129" s="2"/>
      <c r="F129" s="2"/>
      <c r="G129" s="2"/>
      <c r="H129" s="2"/>
      <c r="I129" s="2"/>
      <c r="J129" s="2"/>
      <c r="M129" s="380"/>
      <c r="N129" s="32"/>
      <c r="O129" s="32"/>
      <c r="P129" s="32"/>
      <c r="Q129" s="32"/>
      <c r="R129" s="32"/>
      <c r="S129" s="32"/>
      <c r="T129" s="32"/>
      <c r="U129" s="32"/>
      <c r="V129" s="32"/>
      <c r="W129" s="32"/>
    </row>
    <row r="130" spans="2:23" ht="12.75">
      <c r="B130" s="2"/>
      <c r="C130" s="2"/>
      <c r="D130" s="2"/>
      <c r="E130" s="2"/>
      <c r="F130" s="2"/>
      <c r="G130" s="2"/>
      <c r="H130" s="2"/>
      <c r="I130" s="2"/>
      <c r="J130" s="2"/>
      <c r="M130" s="380"/>
      <c r="N130" s="32"/>
      <c r="O130" s="32"/>
      <c r="P130" s="32"/>
      <c r="Q130" s="32"/>
      <c r="R130" s="32"/>
      <c r="S130" s="32"/>
      <c r="T130" s="32"/>
      <c r="U130" s="32"/>
      <c r="V130" s="32"/>
      <c r="W130" s="32"/>
    </row>
    <row r="131" spans="2:23" ht="12.75">
      <c r="B131" s="2"/>
      <c r="C131" s="2"/>
      <c r="D131" s="2"/>
      <c r="E131" s="2"/>
      <c r="F131" s="2"/>
      <c r="G131" s="2"/>
      <c r="H131" s="2"/>
      <c r="I131" s="2"/>
      <c r="J131" s="2"/>
      <c r="M131" s="380"/>
      <c r="N131" s="32"/>
      <c r="O131" s="32"/>
      <c r="P131" s="32"/>
      <c r="Q131" s="32"/>
      <c r="R131" s="32"/>
      <c r="S131" s="32"/>
      <c r="T131" s="32"/>
      <c r="U131" s="32"/>
      <c r="V131" s="32"/>
      <c r="W131" s="32"/>
    </row>
    <row r="132" s="2" customFormat="1" ht="12.75">
      <c r="IV132" s="1"/>
    </row>
    <row r="133" spans="2:256" s="2" customFormat="1" ht="15" customHeight="1">
      <c r="B133" s="28"/>
      <c r="C133" s="29" t="s">
        <v>218</v>
      </c>
      <c r="D133" s="30"/>
      <c r="E133" s="30"/>
      <c r="F133" s="30"/>
      <c r="G133" s="30"/>
      <c r="H133" s="30"/>
      <c r="I133" s="30"/>
      <c r="J133" s="31"/>
      <c r="M133" s="380" t="s">
        <v>219</v>
      </c>
      <c r="N133" s="32"/>
      <c r="O133" s="32"/>
      <c r="P133" s="32"/>
      <c r="Q133" s="32"/>
      <c r="R133" s="32"/>
      <c r="S133" s="32"/>
      <c r="T133" s="32"/>
      <c r="U133" s="32"/>
      <c r="V133" s="32"/>
      <c r="W133" s="32"/>
      <c r="IV133" s="1"/>
    </row>
    <row r="134" spans="2:256" s="2" customFormat="1" ht="12.75">
      <c r="B134" s="33"/>
      <c r="C134" s="299" t="s">
        <v>220</v>
      </c>
      <c r="D134" s="300"/>
      <c r="E134" s="301" t="str">
        <f>D7</f>
        <v>gal</v>
      </c>
      <c r="F134" s="35"/>
      <c r="G134" s="35"/>
      <c r="H134" s="299" t="s">
        <v>221</v>
      </c>
      <c r="I134" s="302" t="e">
        <f>IF(D137="",D135/D134*1000,D137)</f>
        <v>#DIV/0!</v>
      </c>
      <c r="J134" s="303" t="s">
        <v>15</v>
      </c>
      <c r="M134" s="380"/>
      <c r="N134" s="32"/>
      <c r="O134" s="32"/>
      <c r="P134" s="32"/>
      <c r="Q134" s="32"/>
      <c r="R134" s="32"/>
      <c r="S134" s="32"/>
      <c r="T134" s="32"/>
      <c r="U134" s="32"/>
      <c r="V134" s="32"/>
      <c r="W134" s="32"/>
      <c r="IV134" s="1"/>
    </row>
    <row r="135" spans="2:256" s="2" customFormat="1" ht="12.75">
      <c r="B135" s="33"/>
      <c r="C135" s="299" t="s">
        <v>222</v>
      </c>
      <c r="D135" s="300"/>
      <c r="E135" s="301" t="s">
        <v>86</v>
      </c>
      <c r="F135" s="35"/>
      <c r="G135" s="35"/>
      <c r="H135" s="299" t="s">
        <v>223</v>
      </c>
      <c r="I135" s="302" t="e">
        <f>IF(J135="l",'detailed calculations'!B161,IF(J135="qt",'detailed calculations'!B161/0.95,IF(J135="gal",'detailed calculations'!B161/3.79,"bad unit")))</f>
        <v>#VALUE!</v>
      </c>
      <c r="J135" s="303" t="str">
        <f>D7</f>
        <v>gal</v>
      </c>
      <c r="M135" s="380"/>
      <c r="N135" s="32"/>
      <c r="O135" s="32"/>
      <c r="P135" s="32"/>
      <c r="Q135" s="32"/>
      <c r="R135" s="32"/>
      <c r="S135" s="32"/>
      <c r="T135" s="32"/>
      <c r="U135" s="32"/>
      <c r="V135" s="32"/>
      <c r="W135" s="32"/>
      <c r="IV135" s="1"/>
    </row>
    <row r="136" spans="2:256" s="2" customFormat="1" ht="12.75">
      <c r="B136" s="33"/>
      <c r="C136" s="2" t="s">
        <v>129</v>
      </c>
      <c r="F136" s="35"/>
      <c r="G136" s="35"/>
      <c r="H136" s="299" t="s">
        <v>224</v>
      </c>
      <c r="I136" s="302" t="e">
        <f>IF(J136="l",'detailed calculations'!B162,IF(J136="qt",'detailed calculations'!B162/0.95,IF(J136="gal",'detailed calculations'!B162/3.79,"bad unit")))</f>
        <v>#VALUE!</v>
      </c>
      <c r="J136" s="303" t="str">
        <f>D7</f>
        <v>gal</v>
      </c>
      <c r="M136" s="380"/>
      <c r="N136" s="32"/>
      <c r="O136" s="32"/>
      <c r="P136" s="32"/>
      <c r="Q136" s="32"/>
      <c r="R136" s="32"/>
      <c r="S136" s="32"/>
      <c r="T136" s="32"/>
      <c r="U136" s="32"/>
      <c r="V136" s="32"/>
      <c r="W136" s="32"/>
      <c r="IV136" s="1"/>
    </row>
    <row r="137" spans="2:256" s="2" customFormat="1" ht="12.75">
      <c r="B137" s="33"/>
      <c r="C137" s="299" t="s">
        <v>221</v>
      </c>
      <c r="D137" s="300"/>
      <c r="E137" s="304" t="s">
        <v>15</v>
      </c>
      <c r="F137" s="35"/>
      <c r="G137" s="35"/>
      <c r="H137" s="299" t="s">
        <v>225</v>
      </c>
      <c r="I137" s="302" t="e">
        <f>IF(J137="l",'detailed calculations'!B163,IF(J137="qt",'detailed calculations'!B163/0.95,IF(J137="gal",'detailed calculations'!B163/3.79,"bad unit")))</f>
        <v>#VALUE!</v>
      </c>
      <c r="J137" s="305" t="str">
        <f>D7</f>
        <v>gal</v>
      </c>
      <c r="M137" s="380"/>
      <c r="N137" s="32"/>
      <c r="O137" s="32"/>
      <c r="P137" s="32"/>
      <c r="Q137" s="32"/>
      <c r="R137" s="32"/>
      <c r="S137" s="32"/>
      <c r="T137" s="32"/>
      <c r="U137" s="32"/>
      <c r="V137" s="32"/>
      <c r="W137" s="32"/>
      <c r="IV137" s="1"/>
    </row>
    <row r="138" spans="2:256" s="2" customFormat="1" ht="12.75">
      <c r="B138" s="261"/>
      <c r="C138" s="250"/>
      <c r="D138" s="82"/>
      <c r="E138" s="84"/>
      <c r="F138" s="82"/>
      <c r="G138" s="35"/>
      <c r="H138" s="299" t="s">
        <v>226</v>
      </c>
      <c r="I138" s="306" t="e">
        <f>0.00000000087*POWER(I134,3.24)</f>
        <v>#DIV/0!</v>
      </c>
      <c r="J138" s="303" t="s">
        <v>216</v>
      </c>
      <c r="M138" s="380"/>
      <c r="IV138" s="1"/>
    </row>
    <row r="139" spans="2:256" s="2" customFormat="1" ht="12.75">
      <c r="B139" s="267"/>
      <c r="C139" s="188"/>
      <c r="D139" s="190"/>
      <c r="E139" s="269"/>
      <c r="F139" s="188"/>
      <c r="G139" s="42"/>
      <c r="H139" s="307" t="s">
        <v>226</v>
      </c>
      <c r="I139" s="308" t="e">
        <f>I138*14.5</f>
        <v>#DIV/0!</v>
      </c>
      <c r="J139" s="309" t="s">
        <v>217</v>
      </c>
      <c r="M139" s="380"/>
      <c r="IV139" s="1"/>
    </row>
    <row r="140" s="2" customFormat="1" ht="12.75">
      <c r="IV140" s="1"/>
    </row>
    <row r="142" spans="2:32" s="191" customFormat="1" ht="12.75">
      <c r="B142" s="191" t="s">
        <v>130</v>
      </c>
      <c r="AA142" s="2"/>
      <c r="AB142" s="2"/>
      <c r="AC142" s="2"/>
      <c r="AD142" s="2"/>
      <c r="AE142" s="2"/>
      <c r="AF142" s="2"/>
    </row>
    <row r="143" spans="2:32" s="191" customFormat="1" ht="12.75">
      <c r="B143" s="192" t="s">
        <v>131</v>
      </c>
      <c r="AA143" s="2"/>
      <c r="AB143" s="2"/>
      <c r="AC143" s="2"/>
      <c r="AD143" s="2"/>
      <c r="AE143" s="2"/>
      <c r="AF143" s="2"/>
    </row>
    <row r="144" spans="2:32" s="191" customFormat="1" ht="11.25">
      <c r="B144" s="191" t="s">
        <v>132</v>
      </c>
      <c r="AA144" s="193"/>
      <c r="AB144" s="193"/>
      <c r="AC144" s="193"/>
      <c r="AD144" s="193"/>
      <c r="AE144" s="193"/>
      <c r="AF144" s="193"/>
    </row>
    <row r="147" ht="12.75">
      <c r="B147" s="194"/>
    </row>
    <row r="148" spans="2:4" ht="12.75">
      <c r="B148" s="194" t="s">
        <v>133</v>
      </c>
      <c r="C148" s="310"/>
      <c r="D148" s="310"/>
    </row>
    <row r="149" spans="2:4" ht="12.75">
      <c r="B149" s="194" t="s">
        <v>91</v>
      </c>
      <c r="C149" s="310"/>
      <c r="D149" s="310"/>
    </row>
    <row r="150" spans="2:4" ht="12.75">
      <c r="B150" s="194" t="s">
        <v>86</v>
      </c>
      <c r="C150" s="310"/>
      <c r="D150" s="310"/>
    </row>
    <row r="151" spans="2:4" ht="12.75">
      <c r="B151" s="194" t="s">
        <v>5</v>
      </c>
      <c r="C151" s="310"/>
      <c r="D151" s="310"/>
    </row>
    <row r="152" spans="2:4" ht="12.75">
      <c r="B152" s="194" t="s">
        <v>134</v>
      </c>
      <c r="C152" s="310"/>
      <c r="D152" s="310"/>
    </row>
    <row r="153" spans="2:4" ht="12.75">
      <c r="B153" s="194"/>
      <c r="C153" s="310"/>
      <c r="D153" s="310"/>
    </row>
    <row r="154" spans="2:4" ht="12.75">
      <c r="B154" s="194" t="s">
        <v>135</v>
      </c>
      <c r="C154" s="310"/>
      <c r="D154" s="310"/>
    </row>
    <row r="155" spans="2:4" ht="12.75">
      <c r="B155" s="194" t="s">
        <v>15</v>
      </c>
      <c r="C155" s="310"/>
      <c r="D155" s="310"/>
    </row>
    <row r="156" spans="2:4" ht="12.75">
      <c r="B156" s="194" t="s">
        <v>31</v>
      </c>
      <c r="C156" s="310"/>
      <c r="D156" s="310"/>
    </row>
    <row r="157" spans="2:4" ht="12.75">
      <c r="B157" s="194" t="s">
        <v>86</v>
      </c>
      <c r="C157" s="310"/>
      <c r="D157" s="310"/>
    </row>
    <row r="158" spans="2:4" ht="12.75">
      <c r="B158" s="194"/>
      <c r="C158" s="310"/>
      <c r="D158" s="310"/>
    </row>
    <row r="159" spans="2:4" ht="12.75">
      <c r="B159" s="194" t="s">
        <v>136</v>
      </c>
      <c r="C159" s="310"/>
      <c r="D159" s="310"/>
    </row>
    <row r="160" spans="2:4" ht="12.75">
      <c r="B160" s="194" t="s">
        <v>37</v>
      </c>
      <c r="C160" s="310"/>
      <c r="D160" s="310"/>
    </row>
    <row r="161" spans="2:4" ht="12.75">
      <c r="B161" s="194" t="s">
        <v>137</v>
      </c>
      <c r="C161" s="310"/>
      <c r="D161" s="310"/>
    </row>
    <row r="162" ht="12.75">
      <c r="B162" s="194"/>
    </row>
    <row r="163" ht="12.75">
      <c r="B163" s="194" t="s">
        <v>227</v>
      </c>
    </row>
    <row r="164" ht="12.75">
      <c r="B164" s="194" t="s">
        <v>185</v>
      </c>
    </row>
    <row r="165" ht="12.75">
      <c r="B165" s="194"/>
    </row>
    <row r="166" ht="12.75">
      <c r="B166" s="194" t="s">
        <v>228</v>
      </c>
    </row>
    <row r="167" ht="12.75">
      <c r="B167" s="194" t="s">
        <v>199</v>
      </c>
    </row>
    <row r="168" ht="12.75">
      <c r="B168" s="194" t="s">
        <v>46</v>
      </c>
    </row>
    <row r="169" ht="12.75">
      <c r="B169" s="194" t="s">
        <v>16</v>
      </c>
    </row>
    <row r="170" ht="12.75">
      <c r="B170" s="194"/>
    </row>
    <row r="171" ht="12.75">
      <c r="B171" s="194" t="s">
        <v>229</v>
      </c>
    </row>
    <row r="172" ht="12.75">
      <c r="B172" s="194" t="s">
        <v>86</v>
      </c>
    </row>
    <row r="173" ht="12.75">
      <c r="B173" s="194" t="s">
        <v>139</v>
      </c>
    </row>
    <row r="174" ht="12.75">
      <c r="B174" s="194"/>
    </row>
    <row r="175" spans="2:3" ht="12.75">
      <c r="B175" s="194" t="s">
        <v>230</v>
      </c>
      <c r="C175" s="310"/>
    </row>
    <row r="176" spans="2:3" ht="12.75">
      <c r="B176" s="194" t="s">
        <v>144</v>
      </c>
      <c r="C176" s="310"/>
    </row>
    <row r="177" spans="2:3" ht="12.75">
      <c r="B177" s="194" t="s">
        <v>5</v>
      </c>
      <c r="C177" s="310"/>
    </row>
    <row r="178" spans="2:3" ht="12.75">
      <c r="B178" s="194"/>
      <c r="C178" s="310"/>
    </row>
    <row r="179" spans="2:3" ht="12.75">
      <c r="B179" s="194" t="s">
        <v>231</v>
      </c>
      <c r="C179" s="310"/>
    </row>
    <row r="180" spans="2:3" ht="12.75">
      <c r="B180" s="194" t="s">
        <v>141</v>
      </c>
      <c r="C180" s="310"/>
    </row>
    <row r="181" spans="2:3" ht="12.75">
      <c r="B181" s="194" t="s">
        <v>142</v>
      </c>
      <c r="C181" s="310"/>
    </row>
    <row r="182" spans="2:3" ht="12.75">
      <c r="B182" s="194" t="s">
        <v>8</v>
      </c>
      <c r="C182" s="310"/>
    </row>
    <row r="183" ht="12.75">
      <c r="B183" s="194"/>
    </row>
    <row r="184" ht="12.75">
      <c r="B184" s="194" t="s">
        <v>232</v>
      </c>
    </row>
    <row r="185" ht="12.75">
      <c r="B185" s="194" t="s">
        <v>70</v>
      </c>
    </row>
    <row r="186" ht="12.75">
      <c r="B186" s="194" t="s">
        <v>233</v>
      </c>
    </row>
    <row r="187" ht="12.75">
      <c r="B187" s="194"/>
    </row>
    <row r="188" ht="12.75">
      <c r="B188" s="194" t="s">
        <v>234</v>
      </c>
    </row>
    <row r="189" ht="12.75">
      <c r="B189" s="194" t="s">
        <v>98</v>
      </c>
    </row>
    <row r="190" ht="12.75">
      <c r="B190" s="194" t="s">
        <v>235</v>
      </c>
    </row>
    <row r="191" ht="12.75">
      <c r="B191" s="194"/>
    </row>
    <row r="192" ht="12.75">
      <c r="B192" s="194"/>
    </row>
    <row r="193" ht="12.75">
      <c r="B193" s="194"/>
    </row>
    <row r="194" ht="12.75">
      <c r="B194" s="194"/>
    </row>
    <row r="195" ht="12.75">
      <c r="B195" s="194"/>
    </row>
    <row r="196" ht="12.75">
      <c r="B196" s="194"/>
    </row>
    <row r="197" ht="12.75">
      <c r="B197" s="194"/>
    </row>
    <row r="198" ht="12.75">
      <c r="B198" s="194"/>
    </row>
    <row r="199" ht="12.75">
      <c r="B199" s="194"/>
    </row>
    <row r="200" ht="12.75">
      <c r="B200" s="194"/>
    </row>
    <row r="201" ht="12.75">
      <c r="B201" s="194"/>
    </row>
    <row r="202" ht="12.75">
      <c r="B202" s="194"/>
    </row>
    <row r="203" ht="12.75">
      <c r="B203" s="194"/>
    </row>
    <row r="204" ht="12.75">
      <c r="B204" s="194"/>
    </row>
    <row r="205" ht="12.75">
      <c r="B205" s="194"/>
    </row>
    <row r="206" ht="12.75">
      <c r="B206" s="194"/>
    </row>
    <row r="207" ht="12.75">
      <c r="B207" s="194"/>
    </row>
    <row r="208" ht="12.75">
      <c r="B208" s="194"/>
    </row>
    <row r="209" ht="12.75">
      <c r="B209" s="194"/>
    </row>
    <row r="210" ht="12.75">
      <c r="B210" s="194"/>
    </row>
    <row r="211" ht="12.75">
      <c r="B211" s="194"/>
    </row>
    <row r="212" ht="12.75">
      <c r="B212" s="194"/>
    </row>
    <row r="213" ht="12.75">
      <c r="B213" s="194"/>
    </row>
    <row r="214" ht="12.75">
      <c r="B214" s="194"/>
    </row>
    <row r="215" ht="12.75">
      <c r="B215" s="194"/>
    </row>
    <row r="216" ht="12.75">
      <c r="B216" s="194"/>
    </row>
    <row r="217" ht="12.75">
      <c r="B217" s="194"/>
    </row>
    <row r="218" ht="12.75">
      <c r="B218" s="194"/>
    </row>
    <row r="219" ht="12.75">
      <c r="B219" s="194"/>
    </row>
    <row r="220" ht="12.75">
      <c r="B220" s="194"/>
    </row>
    <row r="221" ht="12.75">
      <c r="B221" s="194"/>
    </row>
    <row r="222" ht="12.75">
      <c r="B222" s="194"/>
    </row>
    <row r="223" ht="12.75">
      <c r="B223" s="194"/>
    </row>
    <row r="224" ht="12.75">
      <c r="B224" s="194"/>
    </row>
    <row r="225" ht="12.75">
      <c r="B225" s="194"/>
    </row>
    <row r="226" ht="12.75">
      <c r="B226" s="194"/>
    </row>
    <row r="227" ht="12.75">
      <c r="B227" s="194"/>
    </row>
    <row r="228" ht="12.75">
      <c r="B228" s="194"/>
    </row>
    <row r="229" ht="12.75">
      <c r="B229" s="194"/>
    </row>
    <row r="230" ht="12.75">
      <c r="B230" s="194"/>
    </row>
    <row r="231" ht="12.75">
      <c r="B231" s="194"/>
    </row>
    <row r="232" ht="12.75">
      <c r="B232" s="194"/>
    </row>
    <row r="233" ht="12.75">
      <c r="B233" s="194"/>
    </row>
    <row r="234" ht="12.75">
      <c r="B234" s="194"/>
    </row>
    <row r="235" ht="12.75">
      <c r="B235" s="194"/>
    </row>
    <row r="236" ht="12.75">
      <c r="B236" s="194"/>
    </row>
    <row r="237" ht="12.75">
      <c r="B237" s="194"/>
    </row>
    <row r="238" ht="12.75">
      <c r="B238" s="194"/>
    </row>
    <row r="239" ht="12.75">
      <c r="B239" s="194"/>
    </row>
    <row r="240" ht="12.75">
      <c r="B240" s="194"/>
    </row>
    <row r="241" ht="12.75">
      <c r="B241" s="194"/>
    </row>
    <row r="242" ht="12.75">
      <c r="B242" s="194"/>
    </row>
    <row r="243" ht="12.75">
      <c r="B243" s="194"/>
    </row>
  </sheetData>
  <sheetProtection sheet="1"/>
  <mergeCells count="19">
    <mergeCell ref="M112:M115"/>
    <mergeCell ref="M117:M121"/>
    <mergeCell ref="M123:M131"/>
    <mergeCell ref="M133:M139"/>
    <mergeCell ref="M62:M70"/>
    <mergeCell ref="M72:M80"/>
    <mergeCell ref="M6:M7"/>
    <mergeCell ref="M9:M15"/>
    <mergeCell ref="M17:M28"/>
    <mergeCell ref="M31:M34"/>
    <mergeCell ref="M36:M45"/>
    <mergeCell ref="M105:M110"/>
    <mergeCell ref="H47:I47"/>
    <mergeCell ref="M47:M53"/>
    <mergeCell ref="H73:J75"/>
    <mergeCell ref="F74:G74"/>
    <mergeCell ref="M82:M86"/>
    <mergeCell ref="G91:H91"/>
    <mergeCell ref="M91:M94"/>
  </mergeCells>
  <dataValidations count="10">
    <dataValidation type="list" allowBlank="1" showErrorMessage="1" sqref="F85:F87">
      <formula1>$B$149:$B$152</formula1>
      <formula2>0</formula2>
    </dataValidation>
    <dataValidation type="list" allowBlank="1" showErrorMessage="1" sqref="J50">
      <formula1>$B$155:$B$157</formula1>
      <formula2>0</formula2>
    </dataValidation>
    <dataValidation type="list" allowBlank="1" showErrorMessage="1" sqref="G23">
      <formula1>$B$160:$B$161</formula1>
      <formula2>0</formula2>
    </dataValidation>
    <dataValidation type="list" allowBlank="1" showErrorMessage="1" sqref="E77">
      <formula1>$B$163:$B$164</formula1>
      <formula2>0</formula2>
    </dataValidation>
    <dataValidation type="list" allowBlank="1" showErrorMessage="1" sqref="F74">
      <formula1>$B$167:$B$169</formula1>
      <formula2>0</formula2>
    </dataValidation>
    <dataValidation type="list" allowBlank="1" showErrorMessage="1" sqref="B107:J107">
      <formula1>$B$172:$B$173</formula1>
      <formula2>0</formula2>
    </dataValidation>
    <dataValidation type="list" allowBlank="1" showErrorMessage="1" sqref="D6">
      <formula1>$B$176:$B$177</formula1>
      <formula2>0</formula2>
    </dataValidation>
    <dataValidation type="list" allowBlank="1" showErrorMessage="1" sqref="D7">
      <formula1>$B$180:$B$182</formula1>
      <formula2>0</formula2>
    </dataValidation>
    <dataValidation type="list" allowBlank="1" showErrorMessage="1" sqref="H47:I47">
      <formula1>$B$185:$B$186</formula1>
      <formula2>0</formula2>
    </dataValidation>
    <dataValidation type="list" allowBlank="1" showErrorMessage="1" sqref="G91:H91">
      <formula1>$B$189:$B$190</formula1>
      <formula2>0</formula2>
    </dataValidation>
  </dataValidations>
  <hyperlinks>
    <hyperlink ref="B143" r:id="rId1" display="for license details see http://creativecommons.org/licenses/by-nc/3.0/"/>
  </hyperlinks>
  <printOptions headings="1"/>
  <pageMargins left="0.7479166666666667" right="0.7479166666666667" top="0.9840277777777777" bottom="0.9840277777777777" header="0.5118055555555555" footer="0.5118055555555555"/>
  <pageSetup horizontalDpi="300" verticalDpi="300" orientation="portrait" scale="90"/>
</worksheet>
</file>

<file path=xl/worksheets/sheet3.xml><?xml version="1.0" encoding="utf-8"?>
<worksheet xmlns="http://schemas.openxmlformats.org/spreadsheetml/2006/main" xmlns:r="http://schemas.openxmlformats.org/officeDocument/2006/relationships">
  <dimension ref="A1:C45"/>
  <sheetViews>
    <sheetView showGridLines="0" zoomScalePageLayoutView="0" workbookViewId="0" topLeftCell="A1">
      <selection activeCell="B30" sqref="B30"/>
    </sheetView>
  </sheetViews>
  <sheetFormatPr defaultColWidth="9.140625" defaultRowHeight="12.75"/>
  <cols>
    <col min="1" max="1" width="6.28125" style="311" customWidth="1"/>
    <col min="2" max="2" width="11.57421875" style="312" customWidth="1"/>
    <col min="3" max="3" width="104.8515625" style="312" customWidth="1"/>
  </cols>
  <sheetData>
    <row r="1" spans="1:3" ht="12.75">
      <c r="A1" s="313" t="s">
        <v>236</v>
      </c>
      <c r="B1" s="314" t="s">
        <v>237</v>
      </c>
      <c r="C1" s="315" t="s">
        <v>238</v>
      </c>
    </row>
    <row r="2" spans="1:3" ht="12.75">
      <c r="A2" s="316" t="s">
        <v>239</v>
      </c>
      <c r="B2" s="317">
        <v>39837</v>
      </c>
      <c r="C2" s="312" t="s">
        <v>240</v>
      </c>
    </row>
    <row r="3" spans="1:3" ht="12.75">
      <c r="A3" s="316" t="s">
        <v>241</v>
      </c>
      <c r="B3" s="317">
        <v>39839</v>
      </c>
      <c r="C3" s="312" t="s">
        <v>242</v>
      </c>
    </row>
    <row r="4" spans="1:3" ht="12.75">
      <c r="A4" s="316" t="s">
        <v>243</v>
      </c>
      <c r="B4" s="317">
        <v>39841</v>
      </c>
      <c r="C4" s="312" t="s">
        <v>244</v>
      </c>
    </row>
    <row r="5" ht="12.75">
      <c r="C5" s="312" t="s">
        <v>245</v>
      </c>
    </row>
    <row r="6" spans="1:3" ht="12.75">
      <c r="A6" s="316" t="s">
        <v>246</v>
      </c>
      <c r="B6" s="317">
        <v>39842</v>
      </c>
      <c r="C6" s="312" t="s">
        <v>247</v>
      </c>
    </row>
    <row r="7" spans="1:3" ht="12.75">
      <c r="A7" s="316" t="s">
        <v>248</v>
      </c>
      <c r="B7" s="317">
        <v>39890</v>
      </c>
      <c r="C7" s="312" t="s">
        <v>249</v>
      </c>
    </row>
    <row r="8" spans="1:3" ht="12.75">
      <c r="A8" s="316" t="s">
        <v>250</v>
      </c>
      <c r="B8" s="317">
        <v>39903</v>
      </c>
      <c r="C8" s="312" t="s">
        <v>251</v>
      </c>
    </row>
    <row r="9" spans="1:3" ht="12.75">
      <c r="A9" s="316" t="s">
        <v>252</v>
      </c>
      <c r="B9" s="318">
        <v>40023</v>
      </c>
      <c r="C9" s="312" t="s">
        <v>253</v>
      </c>
    </row>
    <row r="10" spans="1:3" ht="12.75">
      <c r="A10" s="311" t="s">
        <v>254</v>
      </c>
      <c r="B10" s="319">
        <v>40049</v>
      </c>
      <c r="C10" s="312" t="s">
        <v>255</v>
      </c>
    </row>
    <row r="11" ht="12.75">
      <c r="C11" s="312" t="s">
        <v>256</v>
      </c>
    </row>
    <row r="12" ht="12.75">
      <c r="C12" s="312" t="s">
        <v>257</v>
      </c>
    </row>
    <row r="13" spans="1:3" ht="12.75">
      <c r="A13" s="311" t="s">
        <v>258</v>
      </c>
      <c r="B13" s="319">
        <v>40150</v>
      </c>
      <c r="C13" s="312" t="s">
        <v>259</v>
      </c>
    </row>
    <row r="14" ht="12.75">
      <c r="C14" s="312" t="s">
        <v>260</v>
      </c>
    </row>
    <row r="15" ht="12.75">
      <c r="C15" s="312" t="s">
        <v>261</v>
      </c>
    </row>
    <row r="16" spans="1:3" ht="12.75">
      <c r="A16" s="311" t="s">
        <v>262</v>
      </c>
      <c r="B16" s="319">
        <v>40180</v>
      </c>
      <c r="C16" s="312" t="s">
        <v>263</v>
      </c>
    </row>
    <row r="17" ht="12.75">
      <c r="C17" s="312" t="s">
        <v>264</v>
      </c>
    </row>
    <row r="18" spans="1:3" ht="12.75">
      <c r="A18" s="311" t="s">
        <v>265</v>
      </c>
      <c r="B18" s="319">
        <v>40202</v>
      </c>
      <c r="C18" s="312" t="s">
        <v>266</v>
      </c>
    </row>
    <row r="19" spans="1:3" ht="12.75">
      <c r="A19" s="311" t="s">
        <v>267</v>
      </c>
      <c r="B19" s="319">
        <v>40202</v>
      </c>
      <c r="C19" s="312" t="s">
        <v>268</v>
      </c>
    </row>
    <row r="20" spans="1:3" ht="12.75">
      <c r="A20" s="311" t="s">
        <v>269</v>
      </c>
      <c r="B20" s="319">
        <v>40219</v>
      </c>
      <c r="C20" s="312" t="s">
        <v>270</v>
      </c>
    </row>
    <row r="21" spans="1:3" ht="12.75">
      <c r="A21" s="311" t="s">
        <v>271</v>
      </c>
      <c r="B21" s="319">
        <v>40220</v>
      </c>
      <c r="C21" s="312" t="s">
        <v>272</v>
      </c>
    </row>
    <row r="22" spans="1:3" ht="12.75">
      <c r="A22" s="311" t="s">
        <v>273</v>
      </c>
      <c r="B22" s="319">
        <v>40233</v>
      </c>
      <c r="C22" s="312" t="s">
        <v>274</v>
      </c>
    </row>
    <row r="23" spans="1:3" ht="12.75">
      <c r="A23" s="311" t="s">
        <v>275</v>
      </c>
      <c r="B23" s="319">
        <v>40238</v>
      </c>
      <c r="C23" s="312" t="s">
        <v>276</v>
      </c>
    </row>
    <row r="24" spans="1:3" ht="12.75">
      <c r="A24" s="311" t="s">
        <v>277</v>
      </c>
      <c r="B24" s="319">
        <v>40253</v>
      </c>
      <c r="C24" s="312" t="s">
        <v>278</v>
      </c>
    </row>
    <row r="25" spans="1:3" ht="12.75">
      <c r="A25" s="311" t="s">
        <v>279</v>
      </c>
      <c r="B25" s="319">
        <v>40257</v>
      </c>
      <c r="C25" s="312" t="s">
        <v>280</v>
      </c>
    </row>
    <row r="26" ht="12.75">
      <c r="C26" s="312" t="s">
        <v>281</v>
      </c>
    </row>
    <row r="27" spans="1:3" ht="12.75">
      <c r="A27" s="311" t="s">
        <v>282</v>
      </c>
      <c r="B27" s="318">
        <v>40298</v>
      </c>
      <c r="C27" s="312" t="s">
        <v>283</v>
      </c>
    </row>
    <row r="28" spans="1:3" ht="12.75">
      <c r="A28" s="311" t="s">
        <v>284</v>
      </c>
      <c r="B28" s="319">
        <v>43979</v>
      </c>
      <c r="C28" s="312" t="s">
        <v>285</v>
      </c>
    </row>
    <row r="29" spans="1:3" ht="12.75">
      <c r="A29" s="311" t="s">
        <v>286</v>
      </c>
      <c r="B29" s="319">
        <v>40335</v>
      </c>
      <c r="C29" s="312" t="s">
        <v>287</v>
      </c>
    </row>
    <row r="30" spans="1:3" ht="12.75">
      <c r="A30" s="311" t="s">
        <v>288</v>
      </c>
      <c r="B30" s="318">
        <v>40336</v>
      </c>
      <c r="C30" s="312" t="s">
        <v>289</v>
      </c>
    </row>
    <row r="31" spans="1:3" ht="12.75">
      <c r="A31" s="311" t="s">
        <v>290</v>
      </c>
      <c r="B31" s="318">
        <v>40337</v>
      </c>
      <c r="C31" s="312" t="s">
        <v>291</v>
      </c>
    </row>
    <row r="32" ht="12.75">
      <c r="C32" s="312" t="s">
        <v>292</v>
      </c>
    </row>
    <row r="33" spans="1:3" ht="12.75">
      <c r="A33" s="311" t="s">
        <v>293</v>
      </c>
      <c r="B33" s="318">
        <v>40562</v>
      </c>
      <c r="C33" s="312" t="s">
        <v>294</v>
      </c>
    </row>
    <row r="34" ht="12.75">
      <c r="C34" s="312" t="s">
        <v>295</v>
      </c>
    </row>
    <row r="35" ht="12.75">
      <c r="C35" s="312" t="s">
        <v>296</v>
      </c>
    </row>
    <row r="36" ht="12.75">
      <c r="C36" s="312" t="s">
        <v>297</v>
      </c>
    </row>
    <row r="37" spans="1:3" ht="12.75">
      <c r="A37" s="311" t="s">
        <v>298</v>
      </c>
      <c r="B37" s="318">
        <v>40603</v>
      </c>
      <c r="C37" s="312" t="s">
        <v>299</v>
      </c>
    </row>
    <row r="38" ht="12.75">
      <c r="C38" s="312" t="s">
        <v>300</v>
      </c>
    </row>
    <row r="39" spans="1:3" ht="12.75">
      <c r="A39" s="311" t="s">
        <v>301</v>
      </c>
      <c r="B39" s="318">
        <v>40616</v>
      </c>
      <c r="C39" s="312" t="s">
        <v>302</v>
      </c>
    </row>
    <row r="40" spans="1:3" ht="12.75">
      <c r="A40" s="311" t="s">
        <v>303</v>
      </c>
      <c r="B40" s="319">
        <v>40995</v>
      </c>
      <c r="C40" s="312" t="s">
        <v>304</v>
      </c>
    </row>
    <row r="41" spans="1:3" ht="12.75">
      <c r="A41" s="311" t="s">
        <v>305</v>
      </c>
      <c r="B41" s="319">
        <v>41036</v>
      </c>
      <c r="C41" s="312" t="s">
        <v>306</v>
      </c>
    </row>
    <row r="42" spans="1:3" ht="12.75">
      <c r="A42" s="311" t="s">
        <v>472</v>
      </c>
      <c r="B42" s="318">
        <v>41166</v>
      </c>
      <c r="C42" s="312" t="s">
        <v>473</v>
      </c>
    </row>
    <row r="43" spans="1:3" ht="12.75">
      <c r="A43" s="311" t="s">
        <v>474</v>
      </c>
      <c r="B43" s="318">
        <v>41166</v>
      </c>
      <c r="C43" s="312" t="s">
        <v>475</v>
      </c>
    </row>
    <row r="44" spans="1:3" ht="12.75">
      <c r="A44" s="311" t="s">
        <v>476</v>
      </c>
      <c r="B44" s="318">
        <v>41167</v>
      </c>
      <c r="C44" s="312" t="s">
        <v>477</v>
      </c>
    </row>
    <row r="45" spans="1:3" ht="12.75">
      <c r="A45" s="311" t="s">
        <v>478</v>
      </c>
      <c r="B45" s="318">
        <v>41168</v>
      </c>
      <c r="C45" s="312" t="s">
        <v>479</v>
      </c>
    </row>
  </sheetData>
  <sheetProtection sheet="1" objects="1" scenarios="1"/>
  <printOptions headings="1"/>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V183"/>
  <sheetViews>
    <sheetView showGridLines="0" zoomScalePageLayoutView="0" workbookViewId="0" topLeftCell="A1">
      <selection activeCell="A23" sqref="A23"/>
    </sheetView>
  </sheetViews>
  <sheetFormatPr defaultColWidth="9.140625" defaultRowHeight="12.75"/>
  <cols>
    <col min="1" max="1" width="56.7109375" style="15" customWidth="1"/>
    <col min="2" max="2" width="13.57421875" style="71" customWidth="1"/>
    <col min="3" max="3" width="9.140625" style="320" customWidth="1"/>
    <col min="4" max="4" width="75.28125" style="320" customWidth="1"/>
    <col min="5" max="5" width="9.28125" style="320" customWidth="1"/>
    <col min="6" max="16384" width="9.140625" style="320" customWidth="1"/>
  </cols>
  <sheetData>
    <row r="2" spans="1:2" ht="12.75">
      <c r="A2" s="277"/>
      <c r="B2" s="321"/>
    </row>
    <row r="3" spans="1:3" ht="12.75">
      <c r="A3" s="277" t="s">
        <v>307</v>
      </c>
      <c r="B3" s="321">
        <f>IF(advanced!E32="l",advanced!D32,IF(advanced!E32="qt",advanced!D32*0.95,advanced!D32*3.79))</f>
        <v>0</v>
      </c>
      <c r="C3" s="320" t="s">
        <v>141</v>
      </c>
    </row>
    <row r="4" spans="1:3" ht="12.75">
      <c r="A4" s="277" t="s">
        <v>308</v>
      </c>
      <c r="B4" s="321">
        <f>IF(advanced!E33="l",advanced!D33,IF(advanced!E33="qt",advanced!D33*0.95,advanced!D33*3.79))</f>
        <v>0</v>
      </c>
      <c r="C4" s="320" t="s">
        <v>141</v>
      </c>
    </row>
    <row r="5" spans="1:3" ht="12.75">
      <c r="A5" s="277" t="s">
        <v>309</v>
      </c>
      <c r="B5" s="321">
        <f>IF(advanced!E34="l",advanced!D34,IF(advanced!E34="qt",advanced!D34*0.95,advanced!D34*3.79))</f>
        <v>0</v>
      </c>
      <c r="C5" s="320" t="s">
        <v>141</v>
      </c>
    </row>
    <row r="6" spans="1:2" ht="12.75">
      <c r="A6" s="277" t="s">
        <v>310</v>
      </c>
      <c r="B6" s="321">
        <f>IF(AND(B3=0,B4=0),1,B4/B3)</f>
        <v>1</v>
      </c>
    </row>
    <row r="7" spans="1:2" ht="12.75">
      <c r="A7" s="277" t="s">
        <v>311</v>
      </c>
      <c r="B7" s="321">
        <f>IF(AND(B5=0,B3=0),0,B5/B3)</f>
        <v>0</v>
      </c>
    </row>
    <row r="8" spans="1:2" ht="12.75">
      <c r="A8" s="277"/>
      <c r="B8" s="321"/>
    </row>
    <row r="9" spans="1:3" ht="12.75">
      <c r="A9" s="277" t="s">
        <v>55</v>
      </c>
      <c r="B9" s="321">
        <f>IF(advanced!J32="kg",advanced!I32,advanced!I32*0.45)</f>
        <v>0</v>
      </c>
      <c r="C9" s="320" t="s">
        <v>144</v>
      </c>
    </row>
    <row r="10" spans="1:3" ht="12.75">
      <c r="A10" s="277" t="s">
        <v>57</v>
      </c>
      <c r="B10" s="321" t="e">
        <f>B4/B9</f>
        <v>#DIV/0!</v>
      </c>
      <c r="C10" s="320" t="s">
        <v>312</v>
      </c>
    </row>
    <row r="11" spans="1:2" ht="12.75">
      <c r="A11" s="277"/>
      <c r="B11" s="321"/>
    </row>
    <row r="12" spans="1:3" ht="12.75">
      <c r="A12" s="277" t="s">
        <v>313</v>
      </c>
      <c r="B12" s="321" t="e">
        <f>0.013*B10+0.013</f>
        <v>#DIV/0!</v>
      </c>
      <c r="C12" s="320" t="s">
        <v>314</v>
      </c>
    </row>
    <row r="13" spans="1:3" ht="12.75">
      <c r="A13" s="277" t="s">
        <v>315</v>
      </c>
      <c r="B13" s="321" t="e">
        <f>B10/B12</f>
        <v>#DIV/0!</v>
      </c>
      <c r="C13" s="320" t="s">
        <v>316</v>
      </c>
    </row>
    <row r="14" spans="1:2" ht="12.75">
      <c r="A14" s="277"/>
      <c r="B14" s="321"/>
    </row>
    <row r="15" spans="1:2" ht="12.75">
      <c r="A15" s="322" t="s">
        <v>317</v>
      </c>
      <c r="B15" s="321"/>
    </row>
    <row r="16" spans="1:2" ht="12.75">
      <c r="A16" s="277"/>
      <c r="B16" s="321"/>
    </row>
    <row r="17" spans="1:3" ht="12.75">
      <c r="A17" s="277" t="s">
        <v>318</v>
      </c>
      <c r="B17" s="321">
        <f>B4*advanced!E27</f>
        <v>0</v>
      </c>
      <c r="C17" s="320" t="s">
        <v>319</v>
      </c>
    </row>
    <row r="18" spans="1:3" ht="12.75">
      <c r="A18" s="277"/>
      <c r="B18" s="321">
        <f>B17/50</f>
        <v>0</v>
      </c>
      <c r="C18" s="320" t="s">
        <v>320</v>
      </c>
    </row>
    <row r="19" spans="1:3" ht="12.75">
      <c r="A19" s="277" t="s">
        <v>321</v>
      </c>
      <c r="B19" s="321" t="e">
        <f>B18/B9/constants!B8</f>
        <v>#DIV/0!</v>
      </c>
      <c r="C19" s="320" t="s">
        <v>48</v>
      </c>
    </row>
    <row r="20" spans="1:2" ht="12.75">
      <c r="A20" s="277"/>
      <c r="B20" s="321"/>
    </row>
    <row r="21" spans="1:2" ht="12.75">
      <c r="A21" s="277"/>
      <c r="B21" s="321"/>
    </row>
    <row r="22" spans="1:2" ht="12.75">
      <c r="A22" s="322" t="s">
        <v>322</v>
      </c>
      <c r="B22" s="321"/>
    </row>
    <row r="23" spans="1:2" ht="12.75">
      <c r="A23" s="320"/>
      <c r="B23" s="321"/>
    </row>
    <row r="24" spans="1:4" ht="12.75">
      <c r="A24" s="277" t="s">
        <v>323</v>
      </c>
      <c r="B24" s="321">
        <f>IF(B57&gt;0,B57,IF(B88&gt;0,B88,IF(advanced!H47=advanced!B186,'detailed calculations'!B4,'detailed calculations'!B3)))</f>
        <v>0</v>
      </c>
      <c r="C24" s="320" t="s">
        <v>141</v>
      </c>
      <c r="D24" s="320" t="s">
        <v>324</v>
      </c>
    </row>
    <row r="25" spans="1:3" ht="12.75">
      <c r="A25" s="277" t="s">
        <v>325</v>
      </c>
      <c r="B25" s="321">
        <f>IF(advanced!B50="g",IF(AND(B24=0,advanced!B51=0),0,1000*advanced!B51/'detailed calculations'!B24),advanced!B51)</f>
        <v>0</v>
      </c>
      <c r="C25" s="320" t="s">
        <v>31</v>
      </c>
    </row>
    <row r="26" spans="1:3" ht="12.75">
      <c r="A26" s="277" t="s">
        <v>326</v>
      </c>
      <c r="B26" s="321">
        <f>IF(advanced!C50="g",IF(AND(advanced!C51=0,B24=0),0,1000*advanced!C51/'detailed calculations'!B24),advanced!C51)</f>
        <v>0</v>
      </c>
      <c r="C26" s="320" t="s">
        <v>31</v>
      </c>
    </row>
    <row r="27" spans="1:3" ht="12.75">
      <c r="A27" s="277" t="s">
        <v>327</v>
      </c>
      <c r="B27" s="321">
        <f>IF(advanced!D50="g",IF(AND(advanced!D51=0,B24=0),0,1000*advanced!D51/'detailed calculations'!B24),advanced!D51)</f>
        <v>0</v>
      </c>
      <c r="C27" s="320" t="s">
        <v>31</v>
      </c>
    </row>
    <row r="28" spans="1:3" ht="12.75">
      <c r="A28" s="277" t="s">
        <v>328</v>
      </c>
      <c r="B28" s="321">
        <f>IF(advanced!E50="g",IF(AND(advanced!E51=0,B24=0),0,1000*advanced!E51/'detailed calculations'!B24),advanced!E51)</f>
        <v>0</v>
      </c>
      <c r="C28" s="320" t="s">
        <v>31</v>
      </c>
    </row>
    <row r="29" spans="1:3" ht="12.75">
      <c r="A29" s="277" t="s">
        <v>329</v>
      </c>
      <c r="B29" s="321">
        <f>IF(advanced!F50="g",IF(AND(advanced!F51=0,B24=0),0,1000*advanced!F51/'detailed calculations'!B24),advanced!F51)</f>
        <v>0</v>
      </c>
      <c r="C29" s="320" t="s">
        <v>31</v>
      </c>
    </row>
    <row r="30" spans="1:3" ht="12.75">
      <c r="A30" s="277" t="s">
        <v>330</v>
      </c>
      <c r="B30" s="321">
        <f>IF(advanced!G50="g",IF(AND(advanced!G51=0,B24=0),0,1000*advanced!G51/'detailed calculations'!B24),advanced!G51)</f>
        <v>0</v>
      </c>
      <c r="C30" s="320" t="s">
        <v>31</v>
      </c>
    </row>
    <row r="31" spans="1:3" ht="12.75">
      <c r="A31" s="277" t="s">
        <v>331</v>
      </c>
      <c r="B31" s="321">
        <f>IF(advanced!H50="g",IF(AND(advanced!H51=0,B24=0),0,1000*advanced!H51/'detailed calculations'!B24),advanced!H51)</f>
        <v>0</v>
      </c>
      <c r="C31" s="320" t="s">
        <v>31</v>
      </c>
    </row>
    <row r="32" spans="1:3" ht="12.75">
      <c r="A32" s="277" t="s">
        <v>332</v>
      </c>
      <c r="B32" s="321">
        <f>IF(advanced!I50="g",IF(AND(advanced!I51=0,B24=0),0,1000*advanced!I51/'detailed calculations'!B24),advanced!I51)</f>
        <v>0</v>
      </c>
      <c r="C32" s="320" t="s">
        <v>31</v>
      </c>
    </row>
    <row r="33" spans="1:2" ht="12.75">
      <c r="A33" s="277"/>
      <c r="B33" s="321"/>
    </row>
    <row r="34" spans="1:3" ht="12.75">
      <c r="A34" s="277" t="s">
        <v>333</v>
      </c>
      <c r="B34" s="321">
        <f>SUM(advanced!B52:I52)/20</f>
        <v>0</v>
      </c>
      <c r="C34" s="320" t="s">
        <v>199</v>
      </c>
    </row>
    <row r="35" spans="1:3" ht="12.75">
      <c r="A35" s="277" t="s">
        <v>334</v>
      </c>
      <c r="B35" s="321">
        <f>SUM(advanced!B53:I53)/12.15</f>
        <v>0</v>
      </c>
      <c r="C35" s="320" t="s">
        <v>199</v>
      </c>
    </row>
    <row r="36" spans="1:3" ht="12.75">
      <c r="A36" s="277" t="s">
        <v>335</v>
      </c>
      <c r="B36" s="321">
        <f>SUM(advanced!B57:I57)/61</f>
        <v>0</v>
      </c>
      <c r="C36" s="320" t="s">
        <v>199</v>
      </c>
    </row>
    <row r="37" spans="1:3" ht="12.75">
      <c r="A37" s="277" t="s">
        <v>336</v>
      </c>
      <c r="B37" s="321">
        <f>B36-B34/3.5-B35/7</f>
        <v>0</v>
      </c>
      <c r="C37" s="320" t="s">
        <v>199</v>
      </c>
    </row>
    <row r="38" spans="1:2" ht="12.75">
      <c r="A38" s="277"/>
      <c r="B38" s="321"/>
    </row>
    <row r="39" spans="1:3" ht="12.75">
      <c r="A39" s="277" t="s">
        <v>337</v>
      </c>
      <c r="B39" s="321">
        <f>B37*B4</f>
        <v>0</v>
      </c>
      <c r="C39" s="320" t="s">
        <v>320</v>
      </c>
    </row>
    <row r="40" spans="1:3" ht="12.75">
      <c r="A40" s="277" t="s">
        <v>338</v>
      </c>
      <c r="B40" s="321" t="e">
        <f>B39/constants!B8/'detailed calculations'!B9</f>
        <v>#DIV/0!</v>
      </c>
      <c r="C40" s="320" t="s">
        <v>48</v>
      </c>
    </row>
    <row r="41" spans="1:2" ht="12.75">
      <c r="A41" s="277"/>
      <c r="B41" s="321"/>
    </row>
    <row r="42" spans="1:2" ht="15.75">
      <c r="A42" s="323" t="s">
        <v>339</v>
      </c>
      <c r="B42" s="321"/>
    </row>
    <row r="43" spans="1:2" ht="15.75">
      <c r="A43" s="323"/>
      <c r="B43" s="321"/>
    </row>
    <row r="44" spans="1:3" ht="12.75">
      <c r="A44" s="277" t="s">
        <v>340</v>
      </c>
      <c r="B44" s="321">
        <f>advanced!J52</f>
        <v>0</v>
      </c>
      <c r="C44" s="320" t="s">
        <v>15</v>
      </c>
    </row>
    <row r="45" spans="1:3" ht="12.75">
      <c r="A45" s="277" t="s">
        <v>341</v>
      </c>
      <c r="B45" s="321">
        <f>advanced!J53</f>
        <v>0</v>
      </c>
      <c r="C45" s="320" t="s">
        <v>15</v>
      </c>
    </row>
    <row r="46" spans="1:3" ht="12.75">
      <c r="A46" s="277" t="s">
        <v>342</v>
      </c>
      <c r="B46" s="321">
        <f>advanced!J57/61</f>
        <v>0</v>
      </c>
      <c r="C46" s="320" t="s">
        <v>199</v>
      </c>
    </row>
    <row r="47" spans="1:2" ht="12.75">
      <c r="A47" s="277" t="s">
        <v>343</v>
      </c>
      <c r="B47" s="321">
        <f>advanced!E64</f>
        <v>8</v>
      </c>
    </row>
    <row r="49" spans="1:3" ht="12.75">
      <c r="A49" s="277" t="s">
        <v>344</v>
      </c>
      <c r="B49" s="321">
        <v>40</v>
      </c>
      <c r="C49" s="320" t="s">
        <v>345</v>
      </c>
    </row>
    <row r="50" spans="1:3" ht="12.75">
      <c r="A50" s="277" t="s">
        <v>346</v>
      </c>
      <c r="B50" s="321">
        <v>24.3</v>
      </c>
      <c r="C50" s="320" t="s">
        <v>345</v>
      </c>
    </row>
    <row r="51" spans="1:3" ht="12.75">
      <c r="A51" s="277" t="s">
        <v>347</v>
      </c>
      <c r="B51" s="321">
        <v>74.1</v>
      </c>
      <c r="C51" s="320" t="s">
        <v>345</v>
      </c>
    </row>
    <row r="52" spans="1:2" ht="12.75">
      <c r="A52" s="320"/>
      <c r="B52" s="321"/>
    </row>
    <row r="53" spans="1:3" ht="12.75">
      <c r="A53" s="277" t="s">
        <v>348</v>
      </c>
      <c r="B53" s="321">
        <f>B44/B49*2</f>
        <v>0</v>
      </c>
      <c r="C53" s="320" t="s">
        <v>199</v>
      </c>
    </row>
    <row r="54" spans="1:3" ht="12.75">
      <c r="A54" s="277" t="s">
        <v>349</v>
      </c>
      <c r="B54" s="321">
        <f>B45/B50*2</f>
        <v>0</v>
      </c>
      <c r="C54" s="320" t="s">
        <v>199</v>
      </c>
    </row>
    <row r="56" ht="15.75">
      <c r="A56" s="324" t="s">
        <v>350</v>
      </c>
    </row>
    <row r="57" spans="1:3" ht="12.75">
      <c r="A57" s="277" t="s">
        <v>351</v>
      </c>
      <c r="B57" s="321">
        <f>IF(advanced!F65="l",advanced!E65,IF(advanced!F65="qt",advanced!E65*0.95,advanced!E65*3.79))</f>
        <v>0</v>
      </c>
      <c r="C57" s="320" t="s">
        <v>141</v>
      </c>
    </row>
    <row r="58" spans="1:2" ht="12.75">
      <c r="A58" s="277"/>
      <c r="B58" s="321"/>
    </row>
    <row r="59" spans="1:2" ht="12.75">
      <c r="A59" s="277" t="s">
        <v>352</v>
      </c>
      <c r="B59" s="321">
        <v>6.4</v>
      </c>
    </row>
    <row r="60" spans="1:2" ht="12.75">
      <c r="A60" s="277" t="s">
        <v>353</v>
      </c>
      <c r="B60" s="321">
        <v>10.3</v>
      </c>
    </row>
    <row r="61" spans="1:2" ht="12.75">
      <c r="A61" s="320"/>
      <c r="B61" s="321"/>
    </row>
    <row r="62" spans="1:2" ht="12.75">
      <c r="A62" s="277" t="s">
        <v>354</v>
      </c>
      <c r="B62" s="321">
        <f>POWER(10,B59-advanced!E64)</f>
        <v>0.02511886431509582</v>
      </c>
    </row>
    <row r="63" spans="1:2" ht="12.75">
      <c r="A63" s="277" t="s">
        <v>355</v>
      </c>
      <c r="B63" s="321">
        <f>POWER(10,B60-advanced!E64)</f>
        <v>199.52623149688836</v>
      </c>
    </row>
    <row r="64" spans="1:2" ht="12.75">
      <c r="A64" s="320"/>
      <c r="B64" s="321"/>
    </row>
    <row r="65" spans="1:3" ht="12.75">
      <c r="A65" s="277" t="s">
        <v>356</v>
      </c>
      <c r="B65" s="321">
        <f>B62*B66</f>
        <v>0</v>
      </c>
      <c r="C65" s="320" t="s">
        <v>357</v>
      </c>
    </row>
    <row r="66" spans="1:3" ht="12.75">
      <c r="A66" s="277" t="s">
        <v>358</v>
      </c>
      <c r="B66" s="321">
        <f>B63*B46/(2+B63)</f>
        <v>0</v>
      </c>
      <c r="C66" s="320" t="s">
        <v>357</v>
      </c>
    </row>
    <row r="67" spans="1:3" ht="12.75">
      <c r="A67" s="277" t="s">
        <v>359</v>
      </c>
      <c r="B67" s="321">
        <f>B66/B63</f>
        <v>0</v>
      </c>
      <c r="C67" s="320" t="s">
        <v>357</v>
      </c>
    </row>
    <row r="68" spans="1:2" ht="12.75">
      <c r="A68" s="277"/>
      <c r="B68" s="321"/>
    </row>
    <row r="69" spans="1:2" ht="12.75">
      <c r="A69" s="277"/>
      <c r="B69" s="321"/>
    </row>
    <row r="70" spans="1:3" ht="12.75">
      <c r="A70" s="277" t="s">
        <v>360</v>
      </c>
      <c r="B70" s="321">
        <f>B66+2*(B65)</f>
        <v>0</v>
      </c>
      <c r="C70" s="320" t="s">
        <v>357</v>
      </c>
    </row>
    <row r="71" spans="1:3" ht="12.75">
      <c r="A71" s="277" t="s">
        <v>361</v>
      </c>
      <c r="B71" s="321">
        <f>B70/2</f>
        <v>0</v>
      </c>
      <c r="C71" s="320" t="s">
        <v>357</v>
      </c>
    </row>
    <row r="72" spans="1:3" ht="12.75">
      <c r="A72" s="277" t="s">
        <v>362</v>
      </c>
      <c r="B72" s="321">
        <f>B71*B51</f>
        <v>0</v>
      </c>
      <c r="C72" s="320" t="s">
        <v>31</v>
      </c>
    </row>
    <row r="73" spans="1:2" ht="12.75">
      <c r="A73" s="277"/>
      <c r="B73" s="321"/>
    </row>
    <row r="74" spans="1:3" ht="12.75">
      <c r="A74" s="277" t="s">
        <v>175</v>
      </c>
      <c r="B74" s="321">
        <f>B72*B57/1000</f>
        <v>0</v>
      </c>
      <c r="C74" s="320" t="s">
        <v>86</v>
      </c>
    </row>
    <row r="76" spans="1:3" ht="12.75">
      <c r="A76" s="15" t="s">
        <v>178</v>
      </c>
      <c r="B76" s="71">
        <f>B53/2+B71-(B67+B66+B65)</f>
        <v>0</v>
      </c>
      <c r="C76" s="320" t="s">
        <v>357</v>
      </c>
    </row>
    <row r="77" spans="1:3" ht="12.75">
      <c r="A77" s="15" t="s">
        <v>178</v>
      </c>
      <c r="B77" s="71">
        <f>B76*B49</f>
        <v>0</v>
      </c>
      <c r="C77" s="320" t="s">
        <v>15</v>
      </c>
    </row>
    <row r="79" spans="1:3" ht="12.75">
      <c r="A79" s="15" t="s">
        <v>363</v>
      </c>
      <c r="B79" s="71">
        <f>advanced!E67/2.81</f>
        <v>0</v>
      </c>
      <c r="C79" s="320" t="s">
        <v>199</v>
      </c>
    </row>
    <row r="80" spans="1:3" ht="12.75">
      <c r="A80" s="15" t="s">
        <v>364</v>
      </c>
      <c r="B80" s="71">
        <f>advanced!E68/2.81</f>
        <v>0</v>
      </c>
      <c r="C80" s="320" t="s">
        <v>199</v>
      </c>
    </row>
    <row r="82" spans="1:3" ht="12.75">
      <c r="A82" s="15" t="s">
        <v>365</v>
      </c>
      <c r="B82" s="71">
        <f>B79-B54</f>
        <v>0</v>
      </c>
      <c r="C82" s="320" t="s">
        <v>199</v>
      </c>
    </row>
    <row r="83" spans="1:3" ht="12.75">
      <c r="A83" s="277" t="s">
        <v>366</v>
      </c>
      <c r="B83" s="321">
        <f>B82/2*B49</f>
        <v>0</v>
      </c>
      <c r="C83" s="320" t="s">
        <v>15</v>
      </c>
    </row>
    <row r="84" spans="1:3" ht="12.75">
      <c r="A84" s="15" t="s">
        <v>367</v>
      </c>
      <c r="B84" s="71">
        <f>B80</f>
        <v>0</v>
      </c>
      <c r="C84" s="320" t="s">
        <v>199</v>
      </c>
    </row>
    <row r="86" ht="15.75">
      <c r="A86" s="324" t="s">
        <v>368</v>
      </c>
    </row>
    <row r="87" ht="15.75">
      <c r="A87" s="324"/>
    </row>
    <row r="88" spans="1:3" ht="12.75">
      <c r="A88" s="15" t="s">
        <v>184</v>
      </c>
      <c r="B88" s="71">
        <f>IF(advanced!F76="l",advanced!E76,IF(advanced!F76="qt",advanced!E76*0.95,advanced!E76*3.79))</f>
        <v>0</v>
      </c>
      <c r="C88" s="320" t="s">
        <v>141</v>
      </c>
    </row>
    <row r="90" spans="1:3" ht="12.75">
      <c r="A90" s="15" t="s">
        <v>369</v>
      </c>
      <c r="B90" s="325">
        <f>B46-B53</f>
        <v>0</v>
      </c>
      <c r="C90" s="326" t="s">
        <v>370</v>
      </c>
    </row>
    <row r="91" spans="1:3" ht="12.75">
      <c r="A91" s="15" t="s">
        <v>371</v>
      </c>
      <c r="B91" s="325">
        <f>IF(B46&lt;constants!B24,B46,IF(B90&lt;constants!B24,constants!B24,'detailed calculations'!B90))</f>
        <v>0</v>
      </c>
      <c r="C91" s="326" t="s">
        <v>199</v>
      </c>
    </row>
    <row r="92" spans="1:3" ht="12.75">
      <c r="A92" s="15" t="s">
        <v>372</v>
      </c>
      <c r="B92" s="325">
        <f>IF(B91&lt;B46,B46-B91,0)</f>
        <v>0</v>
      </c>
      <c r="C92" s="326" t="s">
        <v>199</v>
      </c>
    </row>
    <row r="93" spans="1:3" ht="12.75">
      <c r="A93" s="15" t="s">
        <v>373</v>
      </c>
      <c r="B93" s="325">
        <f>B53-B92</f>
        <v>0</v>
      </c>
      <c r="C93" s="326" t="s">
        <v>199</v>
      </c>
    </row>
    <row r="94" spans="1:3" ht="12.75">
      <c r="A94" s="15" t="s">
        <v>374</v>
      </c>
      <c r="B94" s="325">
        <f>B53-(B46-constants!B24)</f>
        <v>1</v>
      </c>
      <c r="C94" s="326" t="s">
        <v>199</v>
      </c>
    </row>
    <row r="95" spans="2:3" ht="12.75">
      <c r="B95" s="325"/>
      <c r="C95" s="15"/>
    </row>
    <row r="96" spans="1:3" ht="12.75">
      <c r="A96" s="15" t="s">
        <v>375</v>
      </c>
      <c r="B96" s="325">
        <f>IF(advanced!F78="dH",advanced!E78*0.035,IF(advanced!F78="ppm as CaCO3",advanced!E78/50,advanced!E78))</f>
        <v>0</v>
      </c>
      <c r="C96" s="15" t="s">
        <v>199</v>
      </c>
    </row>
    <row r="97" spans="1:3" ht="12.75">
      <c r="A97" s="15" t="s">
        <v>376</v>
      </c>
      <c r="B97" s="71">
        <f>IF(B96&lt;&gt;0,B96,B91)</f>
        <v>0</v>
      </c>
      <c r="C97" s="15" t="s">
        <v>199</v>
      </c>
    </row>
    <row r="98" spans="1:3" ht="12.75">
      <c r="A98" s="15" t="s">
        <v>377</v>
      </c>
      <c r="B98" s="71">
        <f>IF(B97&lt;B46,B46-B97,0)</f>
        <v>0</v>
      </c>
      <c r="C98" s="15" t="s">
        <v>199</v>
      </c>
    </row>
    <row r="99" spans="1:3" ht="12.75">
      <c r="A99" s="15" t="s">
        <v>378</v>
      </c>
      <c r="B99" s="71">
        <f>B53-B98</f>
        <v>0</v>
      </c>
      <c r="C99" s="15" t="s">
        <v>199</v>
      </c>
    </row>
    <row r="100" ht="12.75">
      <c r="C100" s="15"/>
    </row>
    <row r="102" spans="1:2" s="328" customFormat="1" ht="15.75">
      <c r="A102" s="323" t="s">
        <v>379</v>
      </c>
      <c r="B102" s="327"/>
    </row>
    <row r="103" spans="1:3" ht="12.75">
      <c r="A103" s="15" t="s">
        <v>380</v>
      </c>
      <c r="B103" s="71">
        <f>IF(advanced!E77="yes",'detailed calculations'!B97,IF(advanced!E68="",B46,advanced!E68/2.81))</f>
        <v>0</v>
      </c>
      <c r="C103" s="320" t="s">
        <v>199</v>
      </c>
    </row>
    <row r="104" spans="1:3" ht="12.75">
      <c r="A104" s="15" t="s">
        <v>381</v>
      </c>
      <c r="B104" s="71">
        <f>IF(advanced!E77="yes",'detailed calculations'!B99,IF(advanced!E67="",B53,(advanced!E67/2.81-B54)))</f>
        <v>0</v>
      </c>
      <c r="C104" s="320" t="s">
        <v>199</v>
      </c>
    </row>
    <row r="105" spans="1:3" ht="12.75">
      <c r="A105" s="277" t="s">
        <v>382</v>
      </c>
      <c r="B105" s="321">
        <f>advanced!J53/12.15</f>
        <v>0</v>
      </c>
      <c r="C105" s="320" t="s">
        <v>199</v>
      </c>
    </row>
    <row r="106" spans="1:3" ht="12.75">
      <c r="A106" s="277" t="s">
        <v>102</v>
      </c>
      <c r="B106" s="321">
        <f>B103-B104/3.5-B105/7</f>
        <v>0</v>
      </c>
      <c r="C106" s="320" t="s">
        <v>199</v>
      </c>
    </row>
    <row r="107" spans="1:2" ht="12.75">
      <c r="A107" s="277"/>
      <c r="B107" s="321"/>
    </row>
    <row r="108" spans="1:3" ht="12.75">
      <c r="A108" s="277" t="s">
        <v>383</v>
      </c>
      <c r="B108" s="321">
        <f>B106*B4</f>
        <v>0</v>
      </c>
      <c r="C108" s="320" t="s">
        <v>320</v>
      </c>
    </row>
    <row r="109" spans="1:3" ht="12.75">
      <c r="A109" s="277" t="s">
        <v>338</v>
      </c>
      <c r="B109" s="321" t="e">
        <f>B108/B9/constants!B8</f>
        <v>#DIV/0!</v>
      </c>
      <c r="C109" s="320" t="s">
        <v>48</v>
      </c>
    </row>
    <row r="110" spans="1:2" ht="12.75">
      <c r="A110" s="277"/>
      <c r="B110" s="321"/>
    </row>
    <row r="111" spans="1:2" ht="12.75">
      <c r="A111" s="277"/>
      <c r="B111" s="321"/>
    </row>
    <row r="112" spans="1:2" ht="12.75">
      <c r="A112" s="277"/>
      <c r="B112" s="321"/>
    </row>
    <row r="113" spans="1:2" ht="12.75">
      <c r="A113" s="322" t="s">
        <v>189</v>
      </c>
      <c r="B113" s="321"/>
    </row>
    <row r="114" spans="1:2" ht="12.75">
      <c r="A114" s="277"/>
      <c r="B114" s="321"/>
    </row>
    <row r="115" spans="1:3" ht="12.75">
      <c r="A115" s="277" t="s">
        <v>384</v>
      </c>
      <c r="B115" s="321">
        <f>advanced!D85/88*(constants!B12-1)+1</f>
        <v>1.2</v>
      </c>
      <c r="C115" s="320" t="s">
        <v>385</v>
      </c>
    </row>
    <row r="116" spans="1:3" ht="12.75">
      <c r="A116" s="277" t="s">
        <v>386</v>
      </c>
      <c r="B116" s="321">
        <f>IF(advanced!F85="lb",advanced!E85*450,IF(advanced!F85="ml",advanced!E85*'detailed calculations'!B115,IF(advanced!F85="% grist",'detailed calculations'!$B$9*1000*advanced!E85/100,advanced!E85)))</f>
        <v>0</v>
      </c>
      <c r="C116" s="320" t="s">
        <v>86</v>
      </c>
    </row>
    <row r="117" spans="1:3" ht="12.75">
      <c r="A117" s="277" t="s">
        <v>387</v>
      </c>
      <c r="B117" s="321">
        <f>(advanced!D85/100)*B116</f>
        <v>0</v>
      </c>
      <c r="C117" s="320" t="s">
        <v>86</v>
      </c>
    </row>
    <row r="118" spans="1:3" ht="12.75">
      <c r="A118" s="277" t="s">
        <v>388</v>
      </c>
      <c r="B118" s="321">
        <f>(advanced!D87/100)*IF(advanced!F87="lb",advanced!E87*450,IF(advanced!F87="ml","----",IF(advanced!F87="% grist",B9*1000*advanced!E87/100,advanced!E87)))</f>
        <v>0</v>
      </c>
      <c r="C118" s="320" t="s">
        <v>86</v>
      </c>
    </row>
    <row r="119" spans="1:3" ht="12.75">
      <c r="A119" s="15" t="s">
        <v>389</v>
      </c>
      <c r="B119" s="71">
        <f>1000*SUM(B117:B118)/constants!B14</f>
        <v>0</v>
      </c>
      <c r="C119" s="320" t="s">
        <v>320</v>
      </c>
    </row>
    <row r="120" spans="1:3" ht="12.75">
      <c r="A120" s="15" t="s">
        <v>390</v>
      </c>
      <c r="B120" s="71">
        <f>SUM(B117:B118)</f>
        <v>0</v>
      </c>
      <c r="C120" s="320" t="s">
        <v>86</v>
      </c>
    </row>
    <row r="121" spans="1:3" ht="12.75">
      <c r="A121" s="15" t="s">
        <v>391</v>
      </c>
      <c r="B121" s="71">
        <f>IF(B9=0,0,1000*B120/B9)</f>
        <v>0</v>
      </c>
      <c r="C121" s="320" t="s">
        <v>392</v>
      </c>
    </row>
    <row r="122" spans="1:3" ht="12.75">
      <c r="A122" s="15" t="s">
        <v>393</v>
      </c>
      <c r="B122" s="71">
        <f>IF(B3=0,0,1000*B120/B3)</f>
        <v>0</v>
      </c>
      <c r="C122" s="320" t="s">
        <v>31</v>
      </c>
    </row>
    <row r="123" spans="1:2" ht="12.75">
      <c r="A123" s="277"/>
      <c r="B123" s="321"/>
    </row>
    <row r="124" spans="1:3" ht="12.75">
      <c r="A124" s="277" t="s">
        <v>394</v>
      </c>
      <c r="B124" s="321">
        <f>advanced!D86/85*(constants!B13-1)+1</f>
        <v>1.0805882352941176</v>
      </c>
      <c r="C124" s="320" t="s">
        <v>385</v>
      </c>
    </row>
    <row r="125" spans="1:3" ht="12.75">
      <c r="A125" s="277" t="s">
        <v>395</v>
      </c>
      <c r="B125" s="321">
        <f>IF(advanced!F86="lb",advanced!E86*450,IF(advanced!F86="ml",advanced!E86*'detailed calculations'!B124,IF(advanced!F86="% grist",'detailed calculations'!$B$9*1000*advanced!E86/100,advanced!E86)))</f>
        <v>0</v>
      </c>
      <c r="C125" s="320" t="s">
        <v>86</v>
      </c>
    </row>
    <row r="126" spans="1:3" ht="12.75">
      <c r="A126" s="277" t="s">
        <v>396</v>
      </c>
      <c r="B126" s="321">
        <f>(advanced!D86/100)*B125</f>
        <v>0</v>
      </c>
      <c r="C126" s="320" t="s">
        <v>86</v>
      </c>
    </row>
    <row r="127" spans="1:3" ht="12.75">
      <c r="A127" s="277" t="s">
        <v>397</v>
      </c>
      <c r="B127" s="321">
        <f>1000*B126/constants!B15</f>
        <v>0</v>
      </c>
      <c r="C127" s="320" t="s">
        <v>320</v>
      </c>
    </row>
    <row r="128" spans="1:2" ht="12.75">
      <c r="A128" s="277"/>
      <c r="B128" s="321"/>
    </row>
    <row r="129" spans="1:3" ht="12.75">
      <c r="A129" s="277" t="s">
        <v>398</v>
      </c>
      <c r="B129" s="321" t="e">
        <f>-(B119+B127)/constants!B9/'detailed calculations'!B9</f>
        <v>#DIV/0!</v>
      </c>
      <c r="C129" s="320" t="s">
        <v>48</v>
      </c>
    </row>
    <row r="130" spans="1:2" ht="12.75">
      <c r="A130" s="277"/>
      <c r="B130" s="321"/>
    </row>
    <row r="131" spans="1:3" ht="12.75">
      <c r="A131" s="277" t="s">
        <v>399</v>
      </c>
      <c r="B131" s="321">
        <f>IF(advanced!F87="lb",advanced!E87*0.45,IF(advanced!F87="% grist",advanced!E87/100*B9,advanced!E87))</f>
        <v>0</v>
      </c>
      <c r="C131" s="320" t="s">
        <v>144</v>
      </c>
    </row>
    <row r="133" spans="1:3" ht="12.75">
      <c r="A133" s="15" t="s">
        <v>400</v>
      </c>
      <c r="B133" s="71">
        <f>IF(B4=0,0,(B119+B127)/B4)</f>
        <v>0</v>
      </c>
      <c r="C133" s="320" t="s">
        <v>199</v>
      </c>
    </row>
    <row r="134" spans="1:3" ht="12.75">
      <c r="A134" s="277" t="s">
        <v>401</v>
      </c>
      <c r="B134" s="321">
        <f>B103-B133</f>
        <v>0</v>
      </c>
      <c r="C134" s="320" t="s">
        <v>199</v>
      </c>
    </row>
    <row r="135" spans="1:3" ht="12.75">
      <c r="A135" s="277" t="s">
        <v>402</v>
      </c>
      <c r="B135" s="321">
        <f>B106-B133</f>
        <v>0</v>
      </c>
      <c r="C135" s="2" t="s">
        <v>199</v>
      </c>
    </row>
    <row r="136" spans="1:4" ht="12.75">
      <c r="A136" s="277" t="s">
        <v>403</v>
      </c>
      <c r="B136" s="321">
        <f>IF(B134&gt;0,B134*61,0)</f>
        <v>0</v>
      </c>
      <c r="C136" s="320" t="s">
        <v>31</v>
      </c>
      <c r="D136" s="320" t="s">
        <v>404</v>
      </c>
    </row>
    <row r="137" spans="1:2" ht="12.75">
      <c r="A137" s="277"/>
      <c r="B137" s="321"/>
    </row>
    <row r="138" spans="1:2" ht="12.75">
      <c r="A138" s="277"/>
      <c r="B138" s="321"/>
    </row>
    <row r="139" spans="1:2" ht="15.75">
      <c r="A139" s="323" t="s">
        <v>405</v>
      </c>
      <c r="B139" s="321"/>
    </row>
    <row r="140" spans="1:3" ht="12.75">
      <c r="A140" s="184" t="s">
        <v>406</v>
      </c>
      <c r="B140" s="321">
        <f>B104*20</f>
        <v>0</v>
      </c>
      <c r="C140" s="2" t="s">
        <v>31</v>
      </c>
    </row>
    <row r="141" spans="1:3" ht="12.75">
      <c r="A141" s="184" t="s">
        <v>165</v>
      </c>
      <c r="B141" s="321">
        <f>advanced!J53</f>
        <v>0</v>
      </c>
      <c r="C141" s="2" t="s">
        <v>31</v>
      </c>
    </row>
    <row r="142" spans="1:3" ht="12.75">
      <c r="A142" s="184" t="s">
        <v>166</v>
      </c>
      <c r="B142" s="321">
        <f>advanced!J54</f>
        <v>0</v>
      </c>
      <c r="C142" s="2" t="s">
        <v>31</v>
      </c>
    </row>
    <row r="143" spans="1:3" ht="12.75">
      <c r="A143" s="184" t="s">
        <v>167</v>
      </c>
      <c r="B143" s="321">
        <f>advanced!J55</f>
        <v>0</v>
      </c>
      <c r="C143" s="2" t="s">
        <v>31</v>
      </c>
    </row>
    <row r="144" spans="1:3" ht="12.75">
      <c r="A144" s="184" t="s">
        <v>168</v>
      </c>
      <c r="B144" s="321">
        <f>advanced!J56</f>
        <v>0</v>
      </c>
      <c r="C144" s="2" t="s">
        <v>31</v>
      </c>
    </row>
    <row r="145" spans="1:3" ht="12.75">
      <c r="A145" s="184" t="s">
        <v>169</v>
      </c>
      <c r="B145" s="321">
        <f>B136</f>
        <v>0</v>
      </c>
      <c r="C145" s="2" t="s">
        <v>31</v>
      </c>
    </row>
    <row r="146" spans="1:3" ht="12.75">
      <c r="A146" s="184" t="s">
        <v>407</v>
      </c>
      <c r="B146" s="321">
        <f>B134*50</f>
        <v>0</v>
      </c>
      <c r="C146" s="2" t="s">
        <v>46</v>
      </c>
    </row>
    <row r="147" spans="1:3" ht="12.75">
      <c r="A147" s="184" t="s">
        <v>408</v>
      </c>
      <c r="B147" s="321">
        <f>B135*50</f>
        <v>0</v>
      </c>
      <c r="C147" s="2" t="s">
        <v>46</v>
      </c>
    </row>
    <row r="148" spans="1:3" ht="12.75">
      <c r="A148" s="184"/>
      <c r="B148" s="321"/>
      <c r="C148" s="2"/>
    </row>
    <row r="149" spans="1:3" ht="15.75">
      <c r="A149" s="324" t="s">
        <v>409</v>
      </c>
      <c r="B149" s="321"/>
      <c r="C149" s="2"/>
    </row>
    <row r="150" spans="1:3" ht="12.75">
      <c r="A150" s="184" t="s">
        <v>406</v>
      </c>
      <c r="B150" s="321">
        <f>IF(advanced!$H$47=advanced!$B$185,'detailed calculations'!B140,B140*$B$6+advanced!F20*$B$7)</f>
        <v>0</v>
      </c>
      <c r="C150" s="2" t="s">
        <v>31</v>
      </c>
    </row>
    <row r="151" spans="1:3" ht="12.75">
      <c r="A151" s="184" t="s">
        <v>165</v>
      </c>
      <c r="B151" s="321">
        <f>IF(advanced!$H$47=advanced!$B$185,'detailed calculations'!B141,B141*$B$6+advanced!F21*$B$7)</f>
        <v>0</v>
      </c>
      <c r="C151" s="2" t="s">
        <v>31</v>
      </c>
    </row>
    <row r="152" spans="1:3" ht="12.75">
      <c r="A152" s="184" t="s">
        <v>166</v>
      </c>
      <c r="B152" s="321">
        <f>IF(advanced!$H$47=advanced!$B$185,'detailed calculations'!B142,B142*$B$6+advanced!F22*$B$7)</f>
        <v>0</v>
      </c>
      <c r="C152" s="2" t="s">
        <v>31</v>
      </c>
    </row>
    <row r="153" spans="1:3" ht="12.75">
      <c r="A153" s="184" t="s">
        <v>167</v>
      </c>
      <c r="B153" s="321">
        <f>IF(advanced!$H$47=advanced!$B$185,'detailed calculations'!B143,B143*$B$6+advanced!F23*$B$7)</f>
        <v>0</v>
      </c>
      <c r="C153" s="2" t="s">
        <v>31</v>
      </c>
    </row>
    <row r="154" spans="1:3" ht="12.75">
      <c r="A154" s="184" t="s">
        <v>168</v>
      </c>
      <c r="B154" s="321">
        <f>IF(advanced!$H$47=advanced!$B$185,'detailed calculations'!B144,B144*$B$6+advanced!F24*$B$7)</f>
        <v>0</v>
      </c>
      <c r="C154" s="2" t="s">
        <v>31</v>
      </c>
    </row>
    <row r="155" spans="1:3" ht="12.75">
      <c r="A155" s="184" t="s">
        <v>169</v>
      </c>
      <c r="B155" s="321">
        <f>IF(advanced!$H$47=advanced!$B$185,'detailed calculations'!B145,B145*$B$6+advanced!F25*$B$7)</f>
        <v>0</v>
      </c>
      <c r="C155" s="2" t="s">
        <v>31</v>
      </c>
    </row>
    <row r="156" spans="1:3" ht="12.75">
      <c r="A156" s="184" t="s">
        <v>407</v>
      </c>
      <c r="B156" s="321">
        <f>IF(advanced!$H$47=advanced!$B$185,'detailed calculations'!B146,B146*$B$6+advanced!F26*$B$7)</f>
        <v>0</v>
      </c>
      <c r="C156" s="2" t="s">
        <v>46</v>
      </c>
    </row>
    <row r="157" spans="1:2" ht="12.75">
      <c r="A157" s="277"/>
      <c r="B157" s="321"/>
    </row>
    <row r="158" spans="1:2" ht="15.75">
      <c r="A158" s="323" t="s">
        <v>410</v>
      </c>
      <c r="B158" s="321"/>
    </row>
    <row r="159" spans="1:3" ht="12.75">
      <c r="A159" s="15" t="s">
        <v>411</v>
      </c>
      <c r="B159" s="71">
        <f>IF(advanced!E134="l",advanced!D134,IF(advanced!E134="qt",advanced!D134*0.95,advanced!D134*3.79))</f>
        <v>0</v>
      </c>
      <c r="C159" s="320" t="s">
        <v>141</v>
      </c>
    </row>
    <row r="160" spans="1:3" ht="12.75">
      <c r="A160" s="277" t="s">
        <v>221</v>
      </c>
      <c r="B160" s="321">
        <f>IF(LEN(advanced!D137)=0,IF(LEN(advanced!D134)=0,0,advanced!D135*1000/B159),advanced!D137)</f>
        <v>0</v>
      </c>
      <c r="C160" s="320" t="s">
        <v>15</v>
      </c>
    </row>
    <row r="161" spans="1:3" ht="12.75">
      <c r="A161" s="15" t="s">
        <v>412</v>
      </c>
      <c r="B161" s="71">
        <f>IF($B$160=0,"",advanced!I108*1000/$B$160)</f>
      </c>
      <c r="C161" s="320" t="s">
        <v>141</v>
      </c>
    </row>
    <row r="162" spans="1:3" ht="12.75">
      <c r="A162" s="15" t="s">
        <v>413</v>
      </c>
      <c r="B162" s="71">
        <f>IF($B$160=0,"",advanced!I109*1000/$B$160)</f>
      </c>
      <c r="C162" s="320" t="s">
        <v>141</v>
      </c>
    </row>
    <row r="163" spans="1:3" ht="12.75">
      <c r="A163" s="15" t="s">
        <v>414</v>
      </c>
      <c r="B163" s="71">
        <f>IF($B$160=0,"",advanced!I110*1000/$B$160)</f>
      </c>
      <c r="C163" s="320" t="s">
        <v>141</v>
      </c>
    </row>
    <row r="165" ht="12.75">
      <c r="A165" s="329" t="s">
        <v>415</v>
      </c>
    </row>
    <row r="166" ht="12.75">
      <c r="A166" s="329"/>
    </row>
    <row r="167" spans="1:256" ht="12.75">
      <c r="A167" s="330" t="s">
        <v>416</v>
      </c>
      <c r="B167">
        <v>5.6</v>
      </c>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ht="12.75">
      <c r="A168" s="330" t="s">
        <v>417</v>
      </c>
      <c r="B168">
        <v>0.21</v>
      </c>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12.75">
      <c r="A169" s="330" t="s">
        <v>418</v>
      </c>
      <c r="B169">
        <v>0.06</v>
      </c>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12.75">
      <c r="A170" s="330" t="s">
        <v>419</v>
      </c>
      <c r="B170">
        <v>12</v>
      </c>
      <c r="C170" t="s">
        <v>420</v>
      </c>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12.75">
      <c r="A171" s="330" t="s">
        <v>62</v>
      </c>
      <c r="B171" s="331">
        <f>advanced!D37</f>
        <v>0</v>
      </c>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12.75">
      <c r="A172" s="330" t="s">
        <v>421</v>
      </c>
      <c r="B172" s="331">
        <f>advanced!D38/100</f>
        <v>0</v>
      </c>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12.7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3" ht="12.75">
      <c r="A174" s="277" t="s">
        <v>422</v>
      </c>
      <c r="B174" s="321">
        <f>B167-B171*(B168*(1-B172)+B169*B172)/B170</f>
        <v>5.6</v>
      </c>
      <c r="C174" s="320" t="s">
        <v>48</v>
      </c>
    </row>
    <row r="175" spans="1:2" ht="12.75">
      <c r="A175" s="277"/>
      <c r="B175" s="321"/>
    </row>
    <row r="176" spans="1:2" ht="12.75">
      <c r="A176" s="277"/>
      <c r="B176" s="321"/>
    </row>
    <row r="177" spans="1:2" ht="15.75">
      <c r="A177" s="323" t="s">
        <v>423</v>
      </c>
      <c r="B177" s="321"/>
    </row>
    <row r="178" spans="1:2" ht="12.75">
      <c r="A178" s="277"/>
      <c r="B178" s="321"/>
    </row>
    <row r="179" spans="1:3" ht="12.75">
      <c r="A179" s="277" t="s">
        <v>424</v>
      </c>
      <c r="B179" s="321">
        <f>advanced!E27/50</f>
        <v>0</v>
      </c>
      <c r="C179" s="320" t="s">
        <v>199</v>
      </c>
    </row>
    <row r="180" spans="1:3" ht="12.75">
      <c r="A180" s="277" t="s">
        <v>425</v>
      </c>
      <c r="B180" s="321">
        <f>B5</f>
        <v>0</v>
      </c>
      <c r="C180" s="320" t="s">
        <v>141</v>
      </c>
    </row>
    <row r="181" spans="1:3" ht="12.75">
      <c r="A181" s="277" t="s">
        <v>426</v>
      </c>
      <c r="B181" s="321">
        <f>B179*B180</f>
        <v>0</v>
      </c>
      <c r="C181" s="320" t="s">
        <v>320</v>
      </c>
    </row>
    <row r="182" spans="1:3" ht="12.75">
      <c r="A182" s="277" t="s">
        <v>427</v>
      </c>
      <c r="B182" s="321">
        <f>B181*constants!B14/1000/(advanced!D85/100)/'detailed calculations'!B115</f>
        <v>0</v>
      </c>
      <c r="C182" s="320" t="s">
        <v>91</v>
      </c>
    </row>
    <row r="183" spans="1:3" ht="12.75">
      <c r="A183" s="277" t="s">
        <v>428</v>
      </c>
      <c r="B183" s="321">
        <f>B181*constants!B15/1000/(advanced!D86/100)/'detailed calculations'!B124</f>
        <v>0</v>
      </c>
      <c r="C183" s="320" t="s">
        <v>91</v>
      </c>
    </row>
  </sheetData>
  <sheetProtection sheet="1"/>
  <printOptions headings="1"/>
  <pageMargins left="0.7479166666666667" right="0.7479166666666667" top="0.9840277777777777" bottom="0.9840277777777777"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C24"/>
  <sheetViews>
    <sheetView showGridLines="0" zoomScalePageLayoutView="0" workbookViewId="0" topLeftCell="A1">
      <selection activeCell="A1" sqref="A1"/>
    </sheetView>
  </sheetViews>
  <sheetFormatPr defaultColWidth="11.57421875" defaultRowHeight="12.75"/>
  <cols>
    <col min="1" max="1" width="46.00390625" style="277" customWidth="1"/>
    <col min="2" max="16384" width="11.57421875" style="320" customWidth="1"/>
  </cols>
  <sheetData>
    <row r="2" spans="1:3" ht="12.75">
      <c r="A2" s="15" t="s">
        <v>429</v>
      </c>
      <c r="B2" s="1">
        <v>2.8</v>
      </c>
      <c r="C2" s="1" t="s">
        <v>430</v>
      </c>
    </row>
    <row r="5" spans="1:2" ht="12.75">
      <c r="A5" s="277" t="s">
        <v>431</v>
      </c>
      <c r="B5" s="320">
        <v>5.7</v>
      </c>
    </row>
    <row r="6" spans="1:3" ht="12.75">
      <c r="A6" s="277" t="s">
        <v>432</v>
      </c>
      <c r="B6" s="320">
        <v>30</v>
      </c>
      <c r="C6" s="320" t="s">
        <v>25</v>
      </c>
    </row>
    <row r="8" spans="1:3" ht="12.75">
      <c r="A8" s="277" t="s">
        <v>433</v>
      </c>
      <c r="B8" s="320">
        <v>50</v>
      </c>
      <c r="C8" s="320" t="s">
        <v>316</v>
      </c>
    </row>
    <row r="9" spans="1:3" ht="12.75">
      <c r="A9" s="277" t="s">
        <v>434</v>
      </c>
      <c r="B9" s="320">
        <v>50</v>
      </c>
      <c r="C9" s="320" t="s">
        <v>316</v>
      </c>
    </row>
    <row r="12" spans="1:3" ht="12.75">
      <c r="A12" s="277" t="s">
        <v>435</v>
      </c>
      <c r="B12" s="320">
        <v>1.2</v>
      </c>
      <c r="C12" s="320" t="s">
        <v>385</v>
      </c>
    </row>
    <row r="13" spans="1:3" ht="12.75">
      <c r="A13" s="277" t="s">
        <v>436</v>
      </c>
      <c r="B13" s="320">
        <v>1.685</v>
      </c>
      <c r="C13" s="320" t="s">
        <v>385</v>
      </c>
    </row>
    <row r="14" spans="1:3" ht="12.75">
      <c r="A14" s="277" t="s">
        <v>437</v>
      </c>
      <c r="B14" s="320">
        <v>90</v>
      </c>
      <c r="C14" s="320" t="s">
        <v>345</v>
      </c>
    </row>
    <row r="15" spans="1:3" ht="12.75">
      <c r="A15" s="277" t="s">
        <v>438</v>
      </c>
      <c r="B15" s="320">
        <v>98</v>
      </c>
      <c r="C15" s="320" t="s">
        <v>345</v>
      </c>
    </row>
    <row r="17" spans="1:3" ht="12.75">
      <c r="A17" s="277" t="s">
        <v>439</v>
      </c>
      <c r="B17" s="320">
        <v>4</v>
      </c>
      <c r="C17" s="320" t="s">
        <v>440</v>
      </c>
    </row>
    <row r="18" spans="1:3" ht="12.75">
      <c r="A18" s="277" t="s">
        <v>441</v>
      </c>
      <c r="B18" s="332">
        <f>2.3*2</f>
        <v>4.6</v>
      </c>
      <c r="C18" s="320" t="s">
        <v>440</v>
      </c>
    </row>
    <row r="19" spans="1:3" ht="12.75">
      <c r="A19" s="277" t="s">
        <v>442</v>
      </c>
      <c r="B19" s="332">
        <f>3.18*2</f>
        <v>6.36</v>
      </c>
      <c r="C19" s="320" t="s">
        <v>440</v>
      </c>
    </row>
    <row r="20" spans="1:3" ht="12.75">
      <c r="A20" s="277" t="s">
        <v>443</v>
      </c>
      <c r="B20" s="320">
        <v>4.4</v>
      </c>
      <c r="C20" s="320" t="s">
        <v>440</v>
      </c>
    </row>
    <row r="21" spans="1:3" ht="12.75">
      <c r="A21" s="277" t="s">
        <v>444</v>
      </c>
      <c r="B21" s="332">
        <f>2.6*2</f>
        <v>5.2</v>
      </c>
      <c r="C21" s="320" t="s">
        <v>440</v>
      </c>
    </row>
    <row r="22" spans="1:3" ht="12.75">
      <c r="A22" s="277" t="s">
        <v>445</v>
      </c>
      <c r="B22" s="332">
        <f>1.9*2</f>
        <v>3.8</v>
      </c>
      <c r="C22" s="320" t="s">
        <v>440</v>
      </c>
    </row>
    <row r="24" spans="1:3" ht="12.75">
      <c r="A24" s="277" t="s">
        <v>446</v>
      </c>
      <c r="B24" s="320">
        <f>50/50</f>
        <v>1</v>
      </c>
      <c r="C24" s="320" t="s">
        <v>199</v>
      </c>
    </row>
  </sheetData>
  <sheetProtection sheet="1"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dimension ref="B2:Q36"/>
  <sheetViews>
    <sheetView showGridLines="0" zoomScalePageLayoutView="0" workbookViewId="0" topLeftCell="A1">
      <selection activeCell="H1" sqref="H1"/>
    </sheetView>
  </sheetViews>
  <sheetFormatPr defaultColWidth="9.140625" defaultRowHeight="12.75"/>
  <cols>
    <col min="1" max="1" width="9.7109375" style="312" customWidth="1"/>
    <col min="2" max="2" width="22.140625" style="312" customWidth="1"/>
    <col min="3" max="3" width="8.7109375" style="312" customWidth="1"/>
    <col min="5" max="5" width="8.00390625" style="312" customWidth="1"/>
    <col min="17" max="17" width="7.57421875" style="333" customWidth="1"/>
  </cols>
  <sheetData>
    <row r="2" ht="20.25">
      <c r="D2" s="334" t="s">
        <v>447</v>
      </c>
    </row>
    <row r="3" spans="2:5" ht="12.75">
      <c r="B3"/>
      <c r="C3"/>
      <c r="E3"/>
    </row>
    <row r="4" spans="2:17" ht="12.75">
      <c r="B4"/>
      <c r="C4"/>
      <c r="E4"/>
      <c r="Q4"/>
    </row>
    <row r="5" spans="2:17" ht="12.75">
      <c r="B5"/>
      <c r="C5"/>
      <c r="E5"/>
      <c r="Q5"/>
    </row>
    <row r="6" spans="2:12" ht="15.75">
      <c r="B6" s="335" t="s">
        <v>448</v>
      </c>
      <c r="C6" s="336"/>
      <c r="D6" s="336"/>
      <c r="E6" s="337"/>
      <c r="L6" s="338" t="s">
        <v>449</v>
      </c>
    </row>
    <row r="7" spans="2:5" ht="12.75">
      <c r="B7" s="339"/>
      <c r="C7" s="340" t="s">
        <v>450</v>
      </c>
      <c r="D7" s="340" t="s">
        <v>451</v>
      </c>
      <c r="E7" s="341" t="s">
        <v>452</v>
      </c>
    </row>
    <row r="8" spans="2:17" ht="12.75" customHeight="1">
      <c r="B8" s="342"/>
      <c r="C8" s="343">
        <f>advanced!E18/100</f>
        <v>1</v>
      </c>
      <c r="D8" s="343">
        <f>1-C8</f>
        <v>0</v>
      </c>
      <c r="E8" s="341"/>
      <c r="I8" s="392" t="s">
        <v>453</v>
      </c>
      <c r="J8" s="393" t="s">
        <v>454</v>
      </c>
      <c r="K8" s="393" t="s">
        <v>455</v>
      </c>
      <c r="L8" s="393" t="s">
        <v>456</v>
      </c>
      <c r="M8" s="393" t="s">
        <v>457</v>
      </c>
      <c r="N8" s="393" t="s">
        <v>458</v>
      </c>
      <c r="O8" s="393" t="s">
        <v>459</v>
      </c>
      <c r="P8" s="394" t="s">
        <v>460</v>
      </c>
      <c r="Q8" s="394"/>
    </row>
    <row r="9" spans="2:17" ht="12.75">
      <c r="B9" s="344" t="s">
        <v>453</v>
      </c>
      <c r="C9" s="345">
        <f>advanced!C20</f>
        <v>0</v>
      </c>
      <c r="D9" s="345">
        <f>advanced!D20</f>
        <v>0</v>
      </c>
      <c r="E9" s="346">
        <f>advanced!F20</f>
        <v>0</v>
      </c>
      <c r="I9" s="392"/>
      <c r="J9" s="393"/>
      <c r="K9" s="393"/>
      <c r="L9" s="393"/>
      <c r="M9" s="393"/>
      <c r="N9" s="393"/>
      <c r="O9" s="393"/>
      <c r="P9" s="394"/>
      <c r="Q9" s="394"/>
    </row>
    <row r="10" spans="2:17" ht="12.75">
      <c r="B10" s="344" t="s">
        <v>454</v>
      </c>
      <c r="C10" s="345">
        <f>advanced!C21</f>
        <v>0</v>
      </c>
      <c r="D10" s="345">
        <f>advanced!D21</f>
        <v>0</v>
      </c>
      <c r="E10" s="346">
        <f>advanced!F21</f>
        <v>0</v>
      </c>
      <c r="I10" s="392"/>
      <c r="J10" s="393"/>
      <c r="K10" s="393"/>
      <c r="L10" s="393"/>
      <c r="M10" s="393"/>
      <c r="N10" s="393"/>
      <c r="O10" s="393"/>
      <c r="P10" s="394"/>
      <c r="Q10" s="394"/>
    </row>
    <row r="11" spans="2:17" ht="12.75" customHeight="1">
      <c r="B11" s="344" t="s">
        <v>455</v>
      </c>
      <c r="C11" s="345">
        <f>advanced!C22</f>
        <v>0</v>
      </c>
      <c r="D11" s="345">
        <f>advanced!D22</f>
        <v>0</v>
      </c>
      <c r="E11" s="346">
        <f>advanced!F22</f>
        <v>0</v>
      </c>
      <c r="I11" s="347">
        <f>C29</f>
        <v>0</v>
      </c>
      <c r="J11" s="348">
        <f>C30</f>
        <v>0</v>
      </c>
      <c r="K11" s="348">
        <f>C31</f>
        <v>0</v>
      </c>
      <c r="L11" s="348">
        <f>C32</f>
        <v>0</v>
      </c>
      <c r="M11" s="348">
        <f>C33</f>
        <v>0</v>
      </c>
      <c r="N11" s="348">
        <f>C34</f>
        <v>0</v>
      </c>
      <c r="O11" s="348">
        <f>C35</f>
        <v>0</v>
      </c>
      <c r="P11" s="395">
        <f>C36</f>
        <v>0</v>
      </c>
      <c r="Q11" s="395"/>
    </row>
    <row r="12" spans="2:17" ht="12.75">
      <c r="B12" s="344" t="s">
        <v>456</v>
      </c>
      <c r="C12" s="345">
        <f>advanced!C23</f>
        <v>0</v>
      </c>
      <c r="D12" s="345">
        <f>advanced!D23</f>
        <v>0</v>
      </c>
      <c r="E12" s="346">
        <f>advanced!F23</f>
        <v>0</v>
      </c>
      <c r="Q12"/>
    </row>
    <row r="13" spans="2:12" ht="15.75">
      <c r="B13" s="344" t="s">
        <v>457</v>
      </c>
      <c r="C13" s="345">
        <f>advanced!C24</f>
        <v>0</v>
      </c>
      <c r="D13" s="345">
        <f>advanced!D24</f>
        <v>0</v>
      </c>
      <c r="E13" s="346">
        <f>advanced!F24</f>
        <v>0</v>
      </c>
      <c r="L13" s="338" t="s">
        <v>68</v>
      </c>
    </row>
    <row r="14" spans="2:5" ht="12.75">
      <c r="B14" s="344" t="s">
        <v>458</v>
      </c>
      <c r="C14" s="345">
        <f>advanced!C25</f>
        <v>0</v>
      </c>
      <c r="D14" s="345">
        <f>advanced!D25</f>
        <v>0</v>
      </c>
      <c r="E14" s="346">
        <f>advanced!F25</f>
        <v>0</v>
      </c>
    </row>
    <row r="15" spans="2:17" ht="12.75" customHeight="1">
      <c r="B15" s="349" t="s">
        <v>459</v>
      </c>
      <c r="C15" s="350">
        <f>advanced!C26</f>
        <v>0</v>
      </c>
      <c r="D15" s="350">
        <f>advanced!D26</f>
        <v>0</v>
      </c>
      <c r="E15" s="351">
        <f>advanced!F26</f>
        <v>0</v>
      </c>
      <c r="I15" s="396" t="s">
        <v>71</v>
      </c>
      <c r="J15" s="397" t="s">
        <v>72</v>
      </c>
      <c r="K15" s="397" t="s">
        <v>73</v>
      </c>
      <c r="L15" s="397" t="s">
        <v>74</v>
      </c>
      <c r="M15" s="397" t="s">
        <v>75</v>
      </c>
      <c r="N15" s="397" t="s">
        <v>76</v>
      </c>
      <c r="O15" s="397" t="s">
        <v>122</v>
      </c>
      <c r="P15" s="398" t="s">
        <v>162</v>
      </c>
      <c r="Q15" s="352"/>
    </row>
    <row r="16" spans="9:17" ht="12.75">
      <c r="I16" s="396"/>
      <c r="J16" s="397"/>
      <c r="K16" s="397"/>
      <c r="L16" s="397"/>
      <c r="M16" s="397"/>
      <c r="N16" s="397"/>
      <c r="O16" s="397"/>
      <c r="P16" s="398"/>
      <c r="Q16" s="353"/>
    </row>
    <row r="17" spans="2:17" ht="12.75" customHeight="1">
      <c r="B17" s="335" t="s">
        <v>68</v>
      </c>
      <c r="C17" s="336"/>
      <c r="D17" s="336"/>
      <c r="E17" s="337"/>
      <c r="I17" s="399" t="s">
        <v>78</v>
      </c>
      <c r="J17" s="400" t="s">
        <v>79</v>
      </c>
      <c r="K17" s="400" t="s">
        <v>80</v>
      </c>
      <c r="L17" s="400" t="s">
        <v>81</v>
      </c>
      <c r="M17" s="400" t="s">
        <v>82</v>
      </c>
      <c r="N17" s="400" t="s">
        <v>83</v>
      </c>
      <c r="O17" s="400" t="s">
        <v>84</v>
      </c>
      <c r="P17" s="401" t="s">
        <v>163</v>
      </c>
      <c r="Q17" s="353"/>
    </row>
    <row r="18" spans="2:17" ht="12.75">
      <c r="B18" s="342"/>
      <c r="C18" s="340" t="s">
        <v>15</v>
      </c>
      <c r="D18" s="340" t="s">
        <v>461</v>
      </c>
      <c r="E18" s="341" t="s">
        <v>462</v>
      </c>
      <c r="I18" s="399"/>
      <c r="J18" s="400"/>
      <c r="K18" s="400"/>
      <c r="L18" s="400"/>
      <c r="M18" s="400"/>
      <c r="N18" s="400"/>
      <c r="O18" s="400"/>
      <c r="P18" s="401"/>
      <c r="Q18" s="353"/>
    </row>
    <row r="19" spans="2:17" ht="12.75">
      <c r="B19" s="344" t="s">
        <v>463</v>
      </c>
      <c r="C19" s="354">
        <f>'detailed calculations'!B25</f>
        <v>0</v>
      </c>
      <c r="D19" s="355">
        <f aca="true" t="shared" si="0" ref="D19:D26">C19/1000</f>
        <v>0</v>
      </c>
      <c r="E19" s="356">
        <f aca="true" t="shared" si="1" ref="E19:E26">D19*3.78</f>
        <v>0</v>
      </c>
      <c r="I19" s="357">
        <f>'detailed calculations'!B25</f>
        <v>0</v>
      </c>
      <c r="J19" s="358">
        <f>'detailed calculations'!B26</f>
        <v>0</v>
      </c>
      <c r="K19" s="358">
        <f>'detailed calculations'!B27</f>
        <v>0</v>
      </c>
      <c r="L19" s="358">
        <f>'detailed calculations'!B28</f>
        <v>0</v>
      </c>
      <c r="M19" s="358">
        <f>'detailed calculations'!B29</f>
        <v>0</v>
      </c>
      <c r="N19" s="358">
        <f>'detailed calculations'!B30</f>
        <v>0</v>
      </c>
      <c r="O19" s="358">
        <f>'detailed calculations'!B31</f>
        <v>0</v>
      </c>
      <c r="P19" s="359">
        <f>'detailed calculations'!B32</f>
        <v>0</v>
      </c>
      <c r="Q19" s="353" t="s">
        <v>15</v>
      </c>
    </row>
    <row r="20" spans="2:17" ht="12.75">
      <c r="B20" s="344" t="s">
        <v>464</v>
      </c>
      <c r="C20" s="354">
        <f>'detailed calculations'!B26</f>
        <v>0</v>
      </c>
      <c r="D20" s="355">
        <f t="shared" si="0"/>
        <v>0</v>
      </c>
      <c r="E20" s="356">
        <f t="shared" si="1"/>
        <v>0</v>
      </c>
      <c r="I20" s="357">
        <f aca="true" t="shared" si="2" ref="I20:P20">I19/1000</f>
        <v>0</v>
      </c>
      <c r="J20" s="358">
        <f t="shared" si="2"/>
        <v>0</v>
      </c>
      <c r="K20" s="358">
        <f t="shared" si="2"/>
        <v>0</v>
      </c>
      <c r="L20" s="358">
        <f t="shared" si="2"/>
        <v>0</v>
      </c>
      <c r="M20" s="358">
        <f t="shared" si="2"/>
        <v>0</v>
      </c>
      <c r="N20" s="358">
        <f t="shared" si="2"/>
        <v>0</v>
      </c>
      <c r="O20" s="358">
        <f t="shared" si="2"/>
        <v>0</v>
      </c>
      <c r="P20" s="359">
        <f t="shared" si="2"/>
        <v>0</v>
      </c>
      <c r="Q20" s="353" t="s">
        <v>461</v>
      </c>
    </row>
    <row r="21" spans="2:17" ht="12.75">
      <c r="B21" s="344" t="s">
        <v>465</v>
      </c>
      <c r="C21" s="354">
        <f>'detailed calculations'!B27</f>
        <v>0</v>
      </c>
      <c r="D21" s="355">
        <f t="shared" si="0"/>
        <v>0</v>
      </c>
      <c r="E21" s="356">
        <f t="shared" si="1"/>
        <v>0</v>
      </c>
      <c r="I21" s="360">
        <f aca="true" t="shared" si="3" ref="I21:P21">I20*3.78</f>
        <v>0</v>
      </c>
      <c r="J21" s="361">
        <f t="shared" si="3"/>
        <v>0</v>
      </c>
      <c r="K21" s="361">
        <f t="shared" si="3"/>
        <v>0</v>
      </c>
      <c r="L21" s="361">
        <f t="shared" si="3"/>
        <v>0</v>
      </c>
      <c r="M21" s="361">
        <f t="shared" si="3"/>
        <v>0</v>
      </c>
      <c r="N21" s="361">
        <f t="shared" si="3"/>
        <v>0</v>
      </c>
      <c r="O21" s="361">
        <f t="shared" si="3"/>
        <v>0</v>
      </c>
      <c r="P21" s="362">
        <f t="shared" si="3"/>
        <v>0</v>
      </c>
      <c r="Q21" s="363" t="s">
        <v>462</v>
      </c>
    </row>
    <row r="22" spans="2:5" ht="12.75">
      <c r="B22" s="344" t="s">
        <v>466</v>
      </c>
      <c r="C22" s="354">
        <f>'detailed calculations'!B28</f>
        <v>0</v>
      </c>
      <c r="D22" s="355">
        <f t="shared" si="0"/>
        <v>0</v>
      </c>
      <c r="E22" s="356">
        <f t="shared" si="1"/>
        <v>0</v>
      </c>
    </row>
    <row r="23" spans="2:5" ht="12.75">
      <c r="B23" s="344" t="s">
        <v>467</v>
      </c>
      <c r="C23" s="354">
        <f>'detailed calculations'!B29</f>
        <v>0</v>
      </c>
      <c r="D23" s="355">
        <f t="shared" si="0"/>
        <v>0</v>
      </c>
      <c r="E23" s="356">
        <f t="shared" si="1"/>
        <v>0</v>
      </c>
    </row>
    <row r="24" spans="2:5" ht="12.75">
      <c r="B24" s="344" t="s">
        <v>76</v>
      </c>
      <c r="C24" s="354">
        <f>'detailed calculations'!B30</f>
        <v>0</v>
      </c>
      <c r="D24" s="355">
        <f t="shared" si="0"/>
        <v>0</v>
      </c>
      <c r="E24" s="356">
        <f t="shared" si="1"/>
        <v>0</v>
      </c>
    </row>
    <row r="25" spans="2:5" ht="12.75">
      <c r="B25" s="344" t="s">
        <v>468</v>
      </c>
      <c r="C25" s="354">
        <f>'detailed calculations'!B31</f>
        <v>0</v>
      </c>
      <c r="D25" s="355">
        <f t="shared" si="0"/>
        <v>0</v>
      </c>
      <c r="E25" s="356">
        <f t="shared" si="1"/>
        <v>0</v>
      </c>
    </row>
    <row r="26" spans="2:5" ht="12.75">
      <c r="B26" s="349" t="s">
        <v>469</v>
      </c>
      <c r="C26" s="364">
        <f>'detailed calculations'!B32</f>
        <v>0</v>
      </c>
      <c r="D26" s="365">
        <f t="shared" si="0"/>
        <v>0</v>
      </c>
      <c r="E26" s="366">
        <f t="shared" si="1"/>
        <v>0</v>
      </c>
    </row>
    <row r="27" spans="2:3" ht="12.75">
      <c r="B27"/>
      <c r="C27"/>
    </row>
    <row r="28" spans="2:3" ht="12.75">
      <c r="B28" s="367" t="s">
        <v>470</v>
      </c>
      <c r="C28" s="368"/>
    </row>
    <row r="29" spans="2:3" ht="12.75">
      <c r="B29" s="369" t="s">
        <v>453</v>
      </c>
      <c r="C29" s="370">
        <f>advanced!C93</f>
        <v>0</v>
      </c>
    </row>
    <row r="30" spans="2:3" ht="12.75">
      <c r="B30" s="369" t="s">
        <v>454</v>
      </c>
      <c r="C30" s="370">
        <f>advanced!C94</f>
        <v>0</v>
      </c>
    </row>
    <row r="31" spans="2:3" ht="12.75">
      <c r="B31" s="369" t="s">
        <v>455</v>
      </c>
      <c r="C31" s="370">
        <f>advanced!C95</f>
        <v>0</v>
      </c>
    </row>
    <row r="32" spans="2:3" ht="12.75">
      <c r="B32" s="369" t="s">
        <v>456</v>
      </c>
      <c r="C32" s="370">
        <f>advanced!C96</f>
        <v>0</v>
      </c>
    </row>
    <row r="33" spans="2:3" ht="12.75">
      <c r="B33" s="369" t="s">
        <v>457</v>
      </c>
      <c r="C33" s="370">
        <f>advanced!C97</f>
        <v>0</v>
      </c>
    </row>
    <row r="34" spans="2:3" ht="12.75">
      <c r="B34" s="369" t="s">
        <v>458</v>
      </c>
      <c r="C34" s="370">
        <f>advanced!C98</f>
        <v>0</v>
      </c>
    </row>
    <row r="35" spans="2:3" ht="12.75">
      <c r="B35" s="369" t="s">
        <v>459</v>
      </c>
      <c r="C35" s="370">
        <f>advanced!C99</f>
        <v>0</v>
      </c>
    </row>
    <row r="36" spans="2:3" ht="12.75">
      <c r="B36" s="371" t="s">
        <v>471</v>
      </c>
      <c r="C36" s="372">
        <f>advanced!C100</f>
        <v>0</v>
      </c>
    </row>
  </sheetData>
  <sheetProtection sheet="1" objects="1" scenarios="1" selectLockedCells="1"/>
  <mergeCells count="25">
    <mergeCell ref="P15:P16"/>
    <mergeCell ref="I17:I18"/>
    <mergeCell ref="J17:J18"/>
    <mergeCell ref="K17:K18"/>
    <mergeCell ref="L17:L18"/>
    <mergeCell ref="M17:M18"/>
    <mergeCell ref="N17:N18"/>
    <mergeCell ref="O17:O18"/>
    <mergeCell ref="P17:P18"/>
    <mergeCell ref="O8:O10"/>
    <mergeCell ref="P8:Q10"/>
    <mergeCell ref="P11:Q11"/>
    <mergeCell ref="I15:I16"/>
    <mergeCell ref="J15:J16"/>
    <mergeCell ref="K15:K16"/>
    <mergeCell ref="L15:L16"/>
    <mergeCell ref="M15:M16"/>
    <mergeCell ref="N15:N16"/>
    <mergeCell ref="O15:O16"/>
    <mergeCell ref="I8:I10"/>
    <mergeCell ref="J8:J10"/>
    <mergeCell ref="K8:K10"/>
    <mergeCell ref="L8:L10"/>
    <mergeCell ref="M8:M10"/>
    <mergeCell ref="N8:N10"/>
  </mergeCells>
  <printOptions headings="1"/>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Troester, Kai</dc:creator>
  <cp:keywords/>
  <dc:description/>
  <cp:lastModifiedBy>Advanced Micro Devices</cp:lastModifiedBy>
  <dcterms:created xsi:type="dcterms:W3CDTF">2012-09-14T15:20:36Z</dcterms:created>
  <dcterms:modified xsi:type="dcterms:W3CDTF">2012-09-16T23:14:17Z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